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ller Net Sheet" sheetId="1" r:id="rId3"/>
    <sheet state="visible" name="Calculation Tables" sheetId="2" r:id="rId4"/>
    <sheet state="visible" name="Title Rate Update" sheetId="3"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B8">
      <text>
        <t xml:space="preserve">
INPUT FIELD
Enter name of seller.
</t>
      </text>
    </comment>
    <comment authorId="0" ref="B9">
      <text>
        <t xml:space="preserve">
INPUT FIELD
Enter address of subject property.
</t>
      </text>
    </comment>
    <comment authorId="0" ref="C10">
      <text>
        <t xml:space="preserve">INPUT FIELD
Enter known or estimated closing date.</t>
      </text>
    </comment>
    <comment authorId="0" ref="C11">
      <text>
        <t xml:space="preserve">
INPUT FIELD
Enter known or estimated sale price.
</t>
      </text>
    </comment>
    <comment authorId="0" ref="C12">
      <text>
        <t xml:space="preserve">
CALCULATED VALUE
Enter winter tax information into
'Winter Tax Data Input' fields.
</t>
      </text>
    </comment>
    <comment authorId="0" ref="C13">
      <text>
        <t xml:space="preserve">
CALCULATED VALUE
Enter summer tax information into
'Summer Tax Data Input' fields.
</t>
      </text>
    </comment>
    <comment authorId="0" ref="E13">
      <text>
        <t xml:space="preserve">
INPUT FIELD
Enter the amount of seller's most
recent winter tax bill. 
</t>
      </text>
    </comment>
    <comment authorId="0" ref="C14">
      <text>
        <t xml:space="preserve">
INPUT FIELD
Enter any additional credits to the seller.
'Other Credit' description may also be edited.
</t>
      </text>
    </comment>
    <comment authorId="0" ref="E14">
      <text>
        <t xml:space="preserve">
TAX PRORATIONS ARE VALID ONLY
FOR TAXES PAID IN ADVANCE.
INPUT FIELD
Enter the end date of the winter fiscal tax period that will be in effect on the day of closing.
In Washtenaw County, the winter fiscal tax
period runs from Dec 1 of the current year
to Nov 30 of the following year.</t>
      </text>
    </comment>
    <comment authorId="0" ref="C15">
      <text>
        <t xml:space="preserve">
CALCULATED VALUE
Total seller credits.</t>
      </text>
    </comment>
    <comment authorId="0" ref="C16">
      <text>
        <t xml:space="preserve">
CALCULATED VALUE
Enter marketing fee (commission)
percent into 'Marketing Fee Data Input' fields.
</t>
      </text>
    </comment>
    <comment authorId="0" ref="C17">
      <text>
        <t xml:space="preserve">
CALCULATED VALUE
County transfer tax equals
$1.10 per $1000 of sales price.
</t>
      </text>
    </comment>
    <comment authorId="0" ref="E17">
      <text>
        <t xml:space="preserve">
INPUT FIELD
Enter the amount of the seller's
 most recent summer tax bill.
</t>
      </text>
    </comment>
    <comment authorId="0" ref="C18">
      <text>
        <t xml:space="preserve">
CALCULATED VALUE
State transfer tax equals
$7.50 per $1000 of sales price.
</t>
      </text>
    </comment>
    <comment authorId="0" ref="E18">
      <text>
        <t xml:space="preserve">
TAX PRORATIONS ARE VALID ONLY
FOR TAXES PAID IN ADVANCE.
INPUT FIELD
Enter the end date of the summer fiscal tax period that will be in effect on the day of closing.
In Washtenaw County, the summer fiscal tax
period runs from Jul 1 of the current year
to Jun 30 of the following year.
</t>
      </text>
    </comment>
    <comment authorId="0" ref="C19">
      <text>
        <t xml:space="preserve">
CALCULATED VALUE
Title policy amount is based on sale price.
</t>
      </text>
    </comment>
    <comment authorId="0" ref="C20">
      <text>
        <t xml:space="preserve">
INPUT FIELD
Enter amount of estimated
 miscellaneous closing costs.
</t>
      </text>
    </comment>
    <comment authorId="0" ref="C21">
      <text>
        <t xml:space="preserve">
INPUT FIELD
Enter any well and septic inspection cost
that will be paid by the Seller.
</t>
      </text>
    </comment>
    <comment authorId="0" ref="E21">
      <text>
        <t xml:space="preserve">
INPUT FIELD
Enter total commission percent 
for $0 to $100,000 tier.
(All commission tier fields must be filled in.)
</t>
      </text>
    </comment>
    <comment authorId="0" ref="C22">
      <text>
        <t xml:space="preserve">
INPUT FIELD
Enter any outstanding assessments that must be paid by the seller at closing.
</t>
      </text>
    </comment>
    <comment authorId="0" ref="E22">
      <text>
        <t xml:space="preserve">
INPUT FIELD
Enter total commission percent 
for $100,001 to $200,000 tier.
(All commission tier fields must be filled in.)</t>
      </text>
    </comment>
    <comment authorId="0" ref="C23">
      <text>
        <t xml:space="preserve">
CALCULATED VALUE
Enter any seller concession costs into
'Seller Concessions Data Input' fields
as either fixed amount or percent of sale price.</t>
      </text>
    </comment>
    <comment authorId="0" ref="E23">
      <text>
        <t xml:space="preserve">
INPUT FIELD
Enter total commission percent 
for $200,001 to $300,000 tier.
(All commission tier fields must be filled in.)</t>
      </text>
    </comment>
    <comment authorId="0" ref="C24">
      <text>
        <t xml:space="preserve">
INPUT FIELD
Enter any escrow amounts that will be withheld from the seller's proceeds at closing.
</t>
      </text>
    </comment>
    <comment authorId="0" ref="E24">
      <text>
        <t xml:space="preserve">
INPUT FIELD
Enter total commission percent 
for $300,001 to $400,000 tier.
(All commission tier fields must be filled in.)
</t>
      </text>
    </comment>
    <comment authorId="0" ref="C25">
      <text>
        <t xml:space="preserve">
INPUT FIELD
Enter amount of any home warranty plan
that will be paid by the seller.
</t>
      </text>
    </comment>
    <comment authorId="0" ref="E25">
      <text>
        <t xml:space="preserve">
INPUT FIELD
Enter total commission percent 
for $400,001 to $500,000 tier.
(All commission tier fields must be filled in.)</t>
      </text>
    </comment>
    <comment authorId="0" ref="C26">
      <text>
        <t xml:space="preserve">
INPUT FIELD
Enter any additional expenses to the seller.
'Other Expense' description may also be edited.
</t>
      </text>
    </comment>
    <comment authorId="0" ref="E26">
      <text>
        <t xml:space="preserve">
INPUT FIELD
Enter total commission percent 
for $500,001 to $600,000 tier.
(All commission tier fields must be filled in.)</t>
      </text>
    </comment>
    <comment authorId="0" ref="C27">
      <text>
        <t xml:space="preserve">
CALCULATED VALUE
Total seller expenses.
</t>
      </text>
    </comment>
    <comment authorId="0" ref="E27">
      <text>
        <t xml:space="preserve">
INPUT FIELD
Enter total commission percent 
for $600,001 to $700,000 tier.
(All commission tier fields must be filled in.)
</t>
      </text>
    </comment>
    <comment authorId="0" ref="C28">
      <text>
        <t xml:space="preserve">
INPUT FIELD
Enter balance of first mortgage.
</t>
      </text>
    </comment>
    <comment authorId="0" ref="E28">
      <text>
        <t xml:space="preserve">
INPUT FIELD
Enter total commission percent 
for $700,001 to $800,000 tier.
(All commission tier fields must be filled in.)</t>
      </text>
    </comment>
    <comment authorId="0" ref="C29">
      <text>
        <t xml:space="preserve">
INPUT FIELD
Enter balance of second mortgage.
</t>
      </text>
    </comment>
    <comment authorId="0" ref="E29">
      <text>
        <t xml:space="preserve">
INPUT FIELD
Enter total commission percent 
for $800,001 to $900,000 tier.
(All commission tier fields must be filled in.)
</t>
      </text>
    </comment>
    <comment authorId="0" ref="C30">
      <text>
        <t xml:space="preserve">
CALCULATED VALUE
Total balance of seller mortgages.
</t>
      </text>
    </comment>
    <comment authorId="0" ref="E30">
      <text>
        <t xml:space="preserve">
INPUT FIELD
Enter total commission percent 
for $900,001 to $1,000,000 tier.
(All commission tier fields must be filled in.)
</t>
      </text>
    </comment>
    <comment authorId="0" ref="C31">
      <text>
        <t xml:space="preserve">
CALCULATED VALUE
Estimated seller net proceeds.
</t>
      </text>
    </comment>
    <comment authorId="0" ref="E31">
      <text>
        <t xml:space="preserve">
INPUT FIELD
Enter total commission percent 
for everything over 1,000,000.
(All commission tier fields must be filled in.)
</t>
      </text>
    </comment>
    <comment authorId="0" ref="E34">
      <text>
        <t xml:space="preserve">
INPUT FIELD
Amount of seller concessions offered to buyer
as a percent of sales price.
MUST BE SET TO 0% IF A
FIXED DOLLAR AMOUNT IS ENTERED.</t>
      </text>
    </comment>
    <comment authorId="0" ref="E35">
      <text>
        <t xml:space="preserve">
INPUT FIELD
Amount of seller concessions offered to buyer
as a fixed dollar amount.
PERCENT FIELD MUST BE SET TO 0%
IF FIXED DOLLAR AMOUNT IS ENTERED.
</t>
      </text>
    </comment>
  </commentList>
</comments>
</file>

<file path=xl/comments2.xml><?xml version="1.0" encoding="utf-8"?>
<comments xmlns:r="http://schemas.openxmlformats.org/officeDocument/2006/relationships" xmlns="http://schemas.openxmlformats.org/spreadsheetml/2006/main">
  <authors>
    <author/>
  </authors>
  <commentList>
    <comment authorId="0" ref="B21">
      <text>
        <t xml:space="preserve">New Title Policy amount without any re-issue discount.
</t>
      </text>
    </comment>
  </commentList>
</comments>
</file>

<file path=xl/comments3.xml><?xml version="1.0" encoding="utf-8"?>
<comments xmlns:r="http://schemas.openxmlformats.org/officeDocument/2006/relationships" xmlns="http://schemas.openxmlformats.org/spreadsheetml/2006/main">
  <authors>
    <author/>
  </authors>
  <commentList>
    <comment authorId="0" ref="C6">
      <text>
        <t xml:space="preserve">$1,001 to $50,000
Amount per thousand
</t>
      </text>
    </comment>
    <comment authorId="0" ref="D6">
      <text>
        <t xml:space="preserve">Owner's Title Policy amount for $1,000
</t>
      </text>
    </comment>
    <comment authorId="0" ref="C7">
      <text>
        <t xml:space="preserve">$50,001 to $100,000
Amount per thousand</t>
      </text>
    </comment>
    <comment authorId="0" ref="D7">
      <text>
        <t xml:space="preserve">Owner's Title Policy amount for $50,000</t>
      </text>
    </comment>
    <comment authorId="0" ref="F7">
      <text>
        <t xml:space="preserve">Owner's Title Policy amount for $50,000</t>
      </text>
    </comment>
    <comment authorId="0" ref="C8">
      <text>
        <t xml:space="preserve">$100,001 to $200,000
Amount per thousand</t>
      </text>
    </comment>
    <comment authorId="0" ref="D8">
      <text>
        <t xml:space="preserve">Owner's Title Policy amount for $100,000</t>
      </text>
    </comment>
    <comment authorId="0" ref="F8">
      <text>
        <t xml:space="preserve">Owner's Title Policy amount for $100,000</t>
      </text>
    </comment>
    <comment authorId="0" ref="C9">
      <text>
        <t xml:space="preserve">$200,001 to $300,000
Amount per thousand</t>
      </text>
    </comment>
    <comment authorId="0" ref="D9">
      <text>
        <t xml:space="preserve">Owner's Title Policy amount for $200,000</t>
      </text>
    </comment>
    <comment authorId="0" ref="F9">
      <text>
        <t xml:space="preserve">Owner's Title Policy amount for $200,000</t>
      </text>
    </comment>
    <comment authorId="0" ref="C10">
      <text>
        <t xml:space="preserve">$300,001 to $1,000,000
Amount per thousand
</t>
      </text>
    </comment>
    <comment authorId="0" ref="D10">
      <text>
        <t xml:space="preserve">Owner's Title Policy amount for $300,000
</t>
      </text>
    </comment>
    <comment authorId="0" ref="F10">
      <text>
        <t xml:space="preserve">Owner's Title Policy amount for $300,000
</t>
      </text>
    </comment>
    <comment authorId="0" ref="C11">
      <text>
        <t xml:space="preserve">Over 1,000,000
Amount per thousand
</t>
      </text>
    </comment>
    <comment authorId="0" ref="D11">
      <text>
        <t xml:space="preserve">Owner's Title Policy amount for $1,000,000
</t>
      </text>
    </comment>
    <comment authorId="0" ref="F11">
      <text>
        <t xml:space="preserve">Owner's Title Policy amount for $1,000,000
</t>
      </text>
    </comment>
  </commentList>
</comments>
</file>

<file path=xl/sharedStrings.xml><?xml version="1.0" encoding="utf-8"?>
<sst xmlns="http://schemas.openxmlformats.org/spreadsheetml/2006/main" count="94" uniqueCount="82">
  <si>
    <t>Owner's Title Policy Rates</t>
  </si>
  <si>
    <t>Rate Update Table</t>
  </si>
  <si>
    <t>DO NOT MODIFY ANY OF THE FOLLOWING FIELDS!  THEY ARE USED TO CALCULATE VALUES IN THE SPREADSHEET.</t>
  </si>
  <si>
    <t>Although the calculations and
formulas in this spreadsheet have
been tested and are believed to be accurate, the author does guarantee
 the results in any way.  It is the user's
responsibility to verify all information.</t>
  </si>
  <si>
    <t>SELLER'S NAME</t>
  </si>
  <si>
    <t>Complete Home Maintenance Services</t>
  </si>
  <si>
    <t>SUBJECT PROPERTY ADDRESS</t>
  </si>
  <si>
    <t>&amp; Pre-Sale Maintenance Inspections</t>
  </si>
  <si>
    <t>Closing Date</t>
  </si>
  <si>
    <t>www.UpkeepPropertyServices.com</t>
  </si>
  <si>
    <t>Sales Price</t>
  </si>
  <si>
    <t xml:space="preserve">Winter Tax Data Input </t>
  </si>
  <si>
    <t>Amount</t>
  </si>
  <si>
    <t>Other Credit</t>
  </si>
  <si>
    <t>Tax Proration Calculations</t>
  </si>
  <si>
    <t>Fiscal Year End Date</t>
  </si>
  <si>
    <t>TOTAL SELLER CREDITS</t>
  </si>
  <si>
    <t>WARNING!</t>
  </si>
  <si>
    <t>Summer Tax Data Input</t>
  </si>
  <si>
    <t>County Transfer Tax - ($1.10 per $1,000)</t>
  </si>
  <si>
    <t>CHANGING THESE VALUES WILL</t>
  </si>
  <si>
    <t>State Transfer Tax - ($7.50 per $1,000)</t>
  </si>
  <si>
    <t>MLS Commission Code</t>
  </si>
  <si>
    <r>
      <rPr>
        <rFont val="Tahoma"/>
        <sz val="10.0"/>
      </rPr>
      <t>Owner's Title Insurance Policy</t>
    </r>
    <r>
      <rPr>
        <rFont val="Arial"/>
        <sz val="8.0"/>
      </rPr>
      <t xml:space="preserve"> </t>
    </r>
    <r>
      <rPr>
        <rFont val="Arial Narrow"/>
        <sz val="8.0"/>
      </rPr>
      <t>(Seller may be entitled to a credit if home was purchased &lt; 5 years ago)</t>
    </r>
  </si>
  <si>
    <t>Closing Costs</t>
  </si>
  <si>
    <t>AFFECT ALL TITLE POLICY</t>
  </si>
  <si>
    <t>Marketing Fee Data Input</t>
  </si>
  <si>
    <t>Well &amp; Septic Inspection</t>
  </si>
  <si>
    <t>Win Days</t>
  </si>
  <si>
    <t>P 0-100</t>
  </si>
  <si>
    <t>Special Assessments</t>
  </si>
  <si>
    <t>C 100-200</t>
  </si>
  <si>
    <t>CALCULATIONS.</t>
  </si>
  <si>
    <t>DO NOT CHANGE UNLESS YOU</t>
  </si>
  <si>
    <t>KNOW WHAT YOU ARE DOING.</t>
  </si>
  <si>
    <t>E 200-300</t>
  </si>
  <si>
    <t>Occupancy / Utility Escrow</t>
  </si>
  <si>
    <t>F 300-400</t>
  </si>
  <si>
    <t>Home Warranty Plan</t>
  </si>
  <si>
    <t>G 400-500</t>
  </si>
  <si>
    <t>Other Expense</t>
  </si>
  <si>
    <t>H 500-600</t>
  </si>
  <si>
    <t>TOTAL SELLER EXPENSES</t>
  </si>
  <si>
    <t>I 600-700</t>
  </si>
  <si>
    <t>1st Mortgage</t>
  </si>
  <si>
    <t>J 700-800</t>
  </si>
  <si>
    <t>2nd Mortgage</t>
  </si>
  <si>
    <t>K 800-900</t>
  </si>
  <si>
    <t>Total Seller Mortgages</t>
  </si>
  <si>
    <t>No 'Unprotect' Password Set</t>
  </si>
  <si>
    <t>L 900-1 Million</t>
  </si>
  <si>
    <t>ESTIMATED NET PROCEEDS</t>
  </si>
  <si>
    <t>M 1,000,000+</t>
  </si>
  <si>
    <t>THESE FIGURES ARE ESTIMATES ONLY.
ACTUAL PROCEEDS MAY BE HIGHER OR LOWER.</t>
  </si>
  <si>
    <t>Seller Concessions Data Input</t>
  </si>
  <si>
    <t>Win Refund Months</t>
  </si>
  <si>
    <t>As a Percent of Price</t>
  </si>
  <si>
    <t>Sum Days</t>
  </si>
  <si>
    <t>As a Fixed Amount</t>
  </si>
  <si>
    <t>Use the print  button on the toolbar to print the report section of this sheet.</t>
  </si>
  <si>
    <t>Sum Refund Months</t>
  </si>
  <si>
    <t>Win Refund</t>
  </si>
  <si>
    <t>Acknowledged By</t>
  </si>
  <si>
    <t>Date</t>
  </si>
  <si>
    <t>Version 14.8.19 KW</t>
  </si>
  <si>
    <t>by Von Miller</t>
  </si>
  <si>
    <t>Sum Refund</t>
  </si>
  <si>
    <t>New Title Policy Calc Table</t>
  </si>
  <si>
    <t>L 900-1M</t>
  </si>
  <si>
    <t>Commission Tiers</t>
  </si>
  <si>
    <t>0-100</t>
  </si>
  <si>
    <t>101-200</t>
  </si>
  <si>
    <t>201-300</t>
  </si>
  <si>
    <t>New Policy Amount</t>
  </si>
  <si>
    <t>301-400</t>
  </si>
  <si>
    <t>401-500</t>
  </si>
  <si>
    <t>501-600</t>
  </si>
  <si>
    <t>601-700</t>
  </si>
  <si>
    <t>701-800</t>
  </si>
  <si>
    <t>801-900</t>
  </si>
  <si>
    <t>901-1000</t>
  </si>
  <si>
    <t>1000000+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</si>
</sst>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0.0%"/>
  </numFmts>
  <fonts count="27">
    <font>
      <sz val="11.0"/>
      <color rgb="FF000000"/>
      <name val="Calibri"/>
    </font>
    <font>
      <b/>
      <sz val="11.0"/>
      <color rgb="FF000000"/>
      <name val="Calibri"/>
    </font>
    <font>
      <sz val="11.0"/>
      <name val="Calibri"/>
    </font>
    <font/>
    <font>
      <sz val="9.0"/>
      <name val="Arial"/>
    </font>
    <font>
      <sz val="9.0"/>
      <color rgb="FF333333"/>
      <name val="Arial"/>
    </font>
    <font>
      <b/>
      <sz val="9.0"/>
      <name val="Arial"/>
    </font>
    <font>
      <sz val="12.0"/>
      <color rgb="FF0000FF"/>
      <name val="Tahoma"/>
    </font>
    <font>
      <b/>
      <sz val="11.0"/>
      <color rgb="FFF2F2F2"/>
      <name val="Calibri"/>
    </font>
    <font>
      <b/>
      <sz val="10.0"/>
      <color rgb="FFFF0000"/>
      <name val="Arial"/>
    </font>
    <font>
      <b/>
      <sz val="10.0"/>
      <name val="Arial"/>
    </font>
    <font>
      <b/>
      <sz val="10.0"/>
      <name val="Tahoma"/>
    </font>
    <font>
      <b/>
      <sz val="10.0"/>
      <color rgb="FF0000FF"/>
      <name val="Tahoma"/>
    </font>
    <font>
      <u/>
      <sz val="10.0"/>
      <color rgb="FFB8CCE4"/>
      <name val="Arial"/>
    </font>
    <font>
      <sz val="11.0"/>
      <color rgb="FF0000FF"/>
      <name val="Calibri"/>
    </font>
    <font>
      <sz val="8.0"/>
      <name val="Arial"/>
    </font>
    <font>
      <sz val="10.0"/>
      <name val="Tahoma"/>
    </font>
    <font>
      <sz val="10.0"/>
      <color rgb="FF0000FF"/>
      <name val="Arial"/>
    </font>
    <font>
      <sz val="10.0"/>
      <name val="Arial"/>
    </font>
    <font>
      <sz val="9.0"/>
      <color rgb="FF0000FF"/>
      <name val="Arial"/>
    </font>
    <font>
      <sz val="10.0"/>
      <color rgb="FF0000FF"/>
      <name val="Tahoma"/>
    </font>
    <font>
      <b/>
      <sz val="14.0"/>
      <color rgb="FFC00000"/>
      <name val="Calibri"/>
    </font>
    <font>
      <b/>
      <sz val="11.0"/>
      <color rgb="FFC00000"/>
      <name val="Calibri"/>
    </font>
    <font>
      <sz val="10.0"/>
      <color rgb="FF000000"/>
      <name val="Calibri"/>
    </font>
    <font>
      <b/>
      <sz val="10.0"/>
      <color rgb="FF000000"/>
      <name val="Tahoma"/>
    </font>
    <font>
      <sz val="8.0"/>
      <name val="Tahoma"/>
    </font>
    <font>
      <i/>
      <sz val="10.0"/>
      <color rgb="FF000000"/>
      <name val="Calibri"/>
    </font>
  </fonts>
  <fills count="6">
    <fill>
      <patternFill patternType="none"/>
    </fill>
    <fill>
      <patternFill patternType="lightGray"/>
    </fill>
    <fill>
      <patternFill patternType="solid">
        <fgColor rgb="FFFFFFFF"/>
        <bgColor rgb="FFFFFFFF"/>
      </patternFill>
    </fill>
    <fill>
      <patternFill patternType="solid">
        <fgColor rgb="FF366092"/>
        <bgColor rgb="FF366092"/>
      </patternFill>
    </fill>
    <fill>
      <patternFill patternType="solid">
        <fgColor rgb="FFF2F2F2"/>
        <bgColor rgb="FFF2F2F2"/>
      </patternFill>
    </fill>
    <fill>
      <patternFill patternType="solid">
        <fgColor rgb="FFB8CCE4"/>
        <bgColor rgb="FFB8CCE4"/>
      </patternFill>
    </fill>
  </fills>
  <borders count="69">
    <border/>
    <border>
      <left/>
      <right/>
      <top/>
      <bottom/>
    </border>
    <border>
      <left style="medium">
        <color rgb="FF000000"/>
      </left>
      <right/>
      <top style="medium">
        <color rgb="FF000000"/>
      </top>
      <bottom/>
    </border>
    <border>
      <left/>
      <right style="medium">
        <color rgb="FF000000"/>
      </right>
      <top style="medium">
        <color rgb="FF000000"/>
      </top>
      <bottom/>
    </border>
    <border>
      <left style="thin">
        <color rgb="FF000000"/>
      </left>
      <right/>
      <top style="thin">
        <color rgb="FF000000"/>
      </top>
      <bottom/>
    </border>
    <border>
      <left/>
      <right style="thin">
        <color rgb="FF000000"/>
      </right>
      <top style="thin">
        <color rgb="FF000000"/>
      </top>
      <bottom/>
    </border>
    <border>
      <left/>
      <top/>
    </border>
    <border>
      <top/>
    </border>
    <border>
      <right/>
      <top/>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border>
    <border>
      <right/>
    </border>
    <border>
      <left style="medium">
        <color rgb="FF000000"/>
      </left>
      <top style="medium">
        <color rgb="FF000000"/>
      </top>
      <bottom/>
    </border>
    <border>
      <right style="medium">
        <color rgb="FF000000"/>
      </right>
      <top style="medium">
        <color rgb="FF000000"/>
      </top>
      <bottom/>
    </border>
    <border>
      <left style="thin">
        <color rgb="FF000000"/>
      </left>
      <top/>
      <bottom/>
    </border>
    <border>
      <right style="thin">
        <color rgb="FF000000"/>
      </right>
      <top/>
      <bottom/>
    </border>
    <border>
      <left/>
      <bottom/>
    </border>
    <border>
      <bottom/>
    </border>
    <border>
      <right/>
      <bottom/>
    </border>
    <border>
      <left style="medium">
        <color rgb="FF000000"/>
      </left>
      <top/>
      <bottom style="medium">
        <color rgb="FF000000"/>
      </bottom>
    </border>
    <border>
      <right style="medium">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top style="medium">
        <color rgb="FF000000"/>
      </top>
      <bottom style="medium">
        <color rgb="FF000000"/>
      </bottom>
    </border>
    <border>
      <left style="thin">
        <color rgb="FF000000"/>
      </left>
      <right style="medium">
        <color rgb="FF000000"/>
      </right>
      <top style="medium">
        <color rgb="FF000000"/>
      </top>
      <bottom style="thin">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top/>
      <bottom style="thin">
        <color rgb="FF000000"/>
      </bottom>
    </border>
    <border>
      <left style="thin">
        <color rgb="FF000000"/>
      </left>
      <right style="medium">
        <color rgb="FF000000"/>
      </right>
      <bottom style="thin">
        <color rgb="FF000000"/>
      </bottom>
    </border>
    <border>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bottom style="medium">
        <color rgb="FF000000"/>
      </bottom>
    </border>
    <border>
      <left style="thin">
        <color rgb="FF000000"/>
      </left>
      <right style="medium">
        <color rgb="FF000000"/>
      </right>
      <top style="thin">
        <color rgb="FF000000"/>
      </top>
      <bottom style="thin">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top style="thin">
        <color rgb="FF000000"/>
      </top>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top style="medium">
        <color rgb="FF000000"/>
      </top>
      <bottom style="thin">
        <color rgb="FF000000"/>
      </bottom>
    </border>
    <border>
      <left style="medium">
        <color rgb="FF000000"/>
      </left>
      <top style="medium">
        <color rgb="FF000000"/>
      </top>
    </border>
    <border>
      <right style="thin">
        <color rgb="FF000000"/>
      </right>
      <top style="medium">
        <color rgb="FF000000"/>
      </top>
      <bottom style="thin">
        <color rgb="FF000000"/>
      </bottom>
    </border>
    <border>
      <top style="medium">
        <color rgb="FF000000"/>
      </top>
    </border>
    <border>
      <right style="medium">
        <color rgb="FF000000"/>
      </right>
      <top style="medium">
        <color rgb="FF000000"/>
      </top>
    </border>
    <border>
      <left style="thin">
        <color rgb="FF000000"/>
      </left>
      <right style="thin">
        <color rgb="FF000000"/>
      </right>
      <top style="medium">
        <color rgb="FF000000"/>
      </top>
      <bottom style="thin">
        <color rgb="FF000000"/>
      </bottom>
    </border>
    <border>
      <left style="medium">
        <color rgb="FF000000"/>
      </left>
    </border>
    <border>
      <right style="medium">
        <color rgb="FF000000"/>
      </right>
    </border>
    <border>
      <left style="medium">
        <color rgb="FF000000"/>
      </left>
      <bottom style="medium">
        <color rgb="FF000000"/>
      </bottom>
    </border>
    <border>
      <left style="medium">
        <color rgb="FF000000"/>
      </left>
      <right style="thin">
        <color rgb="FF000000"/>
      </right>
      <top style="thin">
        <color rgb="FF000000"/>
      </top>
      <bottom/>
    </border>
    <border>
      <bottom style="medium">
        <color rgb="FF000000"/>
      </bottom>
    </border>
    <border>
      <right style="medium">
        <color rgb="FF000000"/>
      </right>
      <bottom style="medium">
        <color rgb="FF000000"/>
      </bottom>
    </border>
    <border>
      <left style="medium">
        <color rgb="FF000000"/>
      </left>
      <bottom style="thin">
        <color rgb="FF000000"/>
      </bottom>
    </border>
    <border>
      <right style="medium">
        <color rgb="FF000000"/>
      </right>
      <bottom style="thin">
        <color rgb="FF000000"/>
      </bottom>
    </border>
    <border>
      <left style="medium">
        <color rgb="FF000000"/>
      </left>
      <top style="thin">
        <color rgb="FF000000"/>
      </top>
      <bottom/>
    </border>
    <border>
      <right style="medium">
        <color rgb="FF000000"/>
      </right>
      <top style="thin">
        <color rgb="FF000000"/>
      </top>
      <bottom/>
    </border>
    <border>
      <left/>
      <right/>
      <top/>
      <bottom style="thin">
        <color rgb="FF000000"/>
      </bottom>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s>
  <cellStyleXfs count="1">
    <xf borderId="0" fillId="0" fontId="0" numFmtId="0" applyAlignment="1" applyFont="1"/>
  </cellStyleXfs>
  <cellXfs count="150">
    <xf borderId="0" fillId="0" fontId="0" numFmtId="0" xfId="0" applyAlignment="1" applyFont="1">
      <alignment readingOrder="0" shrinkToFit="0" vertical="bottom" wrapText="0"/>
    </xf>
    <xf borderId="1" fillId="2" fontId="0" numFmtId="0" xfId="0" applyBorder="1" applyFill="1" applyFont="1"/>
    <xf borderId="0" fillId="0" fontId="1" numFmtId="0" xfId="0" applyAlignment="1" applyFont="1">
      <alignment horizontal="center"/>
    </xf>
    <xf borderId="0" fillId="0" fontId="0" numFmtId="0" xfId="0" applyFont="1"/>
    <xf borderId="2" fillId="2" fontId="0" numFmtId="0" xfId="0" applyBorder="1" applyFont="1"/>
    <xf borderId="3" fillId="2" fontId="0" numFmtId="0" xfId="0" applyBorder="1" applyFont="1"/>
    <xf borderId="4" fillId="3" fontId="0" numFmtId="0" xfId="0" applyBorder="1" applyFill="1" applyFont="1"/>
    <xf borderId="5" fillId="3" fontId="0" numFmtId="0" xfId="0" applyBorder="1" applyFont="1"/>
    <xf borderId="6" fillId="2" fontId="2" numFmtId="0" xfId="0" applyAlignment="1" applyBorder="1" applyFont="1">
      <alignment horizontal="center" shrinkToFit="0" vertical="center" wrapText="1"/>
    </xf>
    <xf borderId="7" fillId="0" fontId="3" numFmtId="0" xfId="0" applyBorder="1" applyFont="1"/>
    <xf borderId="8" fillId="0" fontId="3" numFmtId="0" xfId="0" applyBorder="1" applyFont="1"/>
    <xf borderId="1" fillId="2" fontId="4" numFmtId="0" xfId="0" applyBorder="1" applyFont="1"/>
    <xf borderId="9" fillId="2" fontId="0" numFmtId="0" xfId="0" applyBorder="1" applyFont="1"/>
    <xf borderId="10" fillId="2" fontId="0" numFmtId="0" xfId="0" applyBorder="1" applyFont="1"/>
    <xf borderId="1" fillId="2" fontId="5" numFmtId="0" xfId="0" applyBorder="1" applyFont="1"/>
    <xf borderId="11" fillId="3" fontId="0" numFmtId="0" xfId="0" applyBorder="1" applyFont="1"/>
    <xf borderId="12" fillId="3" fontId="0" numFmtId="0" xfId="0" applyBorder="1" applyFont="1"/>
    <xf borderId="13" fillId="0" fontId="3" numFmtId="0" xfId="0" applyBorder="1" applyFont="1"/>
    <xf borderId="14" fillId="0" fontId="3" numFmtId="0" xfId="0" applyBorder="1" applyFont="1"/>
    <xf borderId="1" fillId="2" fontId="6" numFmtId="0" xfId="0" applyBorder="1" applyFont="1"/>
    <xf borderId="15" fillId="2" fontId="7" numFmtId="0" xfId="0" applyAlignment="1" applyBorder="1" applyFont="1">
      <alignment horizontal="center"/>
    </xf>
    <xf borderId="16" fillId="0" fontId="3" numFmtId="0" xfId="0" applyBorder="1" applyFont="1"/>
    <xf borderId="17" fillId="3" fontId="8" numFmtId="0" xfId="0" applyAlignment="1" applyBorder="1" applyFont="1">
      <alignment horizontal="center"/>
    </xf>
    <xf borderId="18" fillId="0" fontId="3" numFmtId="0" xfId="0" applyBorder="1" applyFont="1"/>
    <xf borderId="19" fillId="0" fontId="3" numFmtId="0" xfId="0" applyBorder="1" applyFont="1"/>
    <xf borderId="20" fillId="0" fontId="3" numFmtId="0" xfId="0" applyBorder="1" applyFont="1"/>
    <xf borderId="21" fillId="0" fontId="3" numFmtId="0" xfId="0" applyBorder="1" applyFont="1"/>
    <xf borderId="22" fillId="2" fontId="7" numFmtId="0" xfId="0" applyAlignment="1" applyBorder="1" applyFont="1">
      <alignment horizontal="center" vertical="top"/>
    </xf>
    <xf borderId="23" fillId="0" fontId="3" numFmtId="0" xfId="0" applyBorder="1" applyFont="1"/>
    <xf borderId="1" fillId="2" fontId="9" numFmtId="0" xfId="0" applyAlignment="1" applyBorder="1" applyFont="1">
      <alignment horizontal="left"/>
    </xf>
    <xf borderId="1" fillId="2" fontId="10" numFmtId="0" xfId="0" applyAlignment="1" applyBorder="1" applyFont="1">
      <alignment horizontal="center"/>
    </xf>
    <xf borderId="17" fillId="3" fontId="8" numFmtId="0" xfId="0" applyAlignment="1" applyBorder="1" applyFont="1">
      <alignment horizontal="center" vertical="top"/>
    </xf>
    <xf borderId="24" fillId="4" fontId="11" numFmtId="0" xfId="0" applyAlignment="1" applyBorder="1" applyFill="1" applyFont="1">
      <alignment horizontal="left" vertical="center"/>
    </xf>
    <xf borderId="25" fillId="0" fontId="0" numFmtId="0" xfId="0" applyAlignment="1" applyBorder="1" applyFont="1">
      <alignment horizontal="center"/>
    </xf>
    <xf borderId="26" fillId="4" fontId="12" numFmtId="14" xfId="0" applyAlignment="1" applyBorder="1" applyFont="1" applyNumberFormat="1">
      <alignment horizontal="center" readingOrder="0" vertical="center"/>
    </xf>
    <xf borderId="27" fillId="0" fontId="3" numFmtId="0" xfId="0" applyBorder="1" applyFont="1"/>
    <xf borderId="28" fillId="0" fontId="3" numFmtId="0" xfId="0" applyBorder="1" applyFont="1"/>
    <xf borderId="29" fillId="0" fontId="0" numFmtId="0" xfId="0" applyAlignment="1" applyBorder="1" applyFont="1">
      <alignment horizontal="center"/>
    </xf>
    <xf borderId="30" fillId="0" fontId="2" numFmtId="2" xfId="0" applyAlignment="1" applyBorder="1" applyFont="1" applyNumberFormat="1">
      <alignment horizontal="center"/>
    </xf>
    <xf borderId="31" fillId="3" fontId="13" numFmtId="0" xfId="0" applyAlignment="1" applyBorder="1" applyFont="1">
      <alignment horizontal="center" vertical="top"/>
    </xf>
    <xf borderId="32" fillId="0" fontId="2" numFmtId="0" xfId="0" applyAlignment="1" applyBorder="1" applyFont="1">
      <alignment horizontal="center"/>
    </xf>
    <xf borderId="33" fillId="0" fontId="3" numFmtId="0" xfId="0" applyBorder="1" applyFont="1"/>
    <xf borderId="34" fillId="0" fontId="0" numFmtId="0" xfId="0" applyAlignment="1" applyBorder="1" applyFont="1">
      <alignment horizontal="center"/>
    </xf>
    <xf borderId="35" fillId="4" fontId="11" numFmtId="0" xfId="0" applyAlignment="1" applyBorder="1" applyFont="1">
      <alignment horizontal="left" vertical="center"/>
    </xf>
    <xf borderId="36" fillId="0" fontId="14" numFmtId="2" xfId="0" applyAlignment="1" applyBorder="1" applyFont="1" applyNumberFormat="1">
      <alignment horizontal="center"/>
    </xf>
    <xf borderId="37" fillId="4" fontId="12" numFmtId="164" xfId="0" applyAlignment="1" applyBorder="1" applyFont="1" applyNumberFormat="1">
      <alignment horizontal="center" readingOrder="0" vertical="center"/>
    </xf>
    <xf borderId="1" fillId="2" fontId="10" numFmtId="164" xfId="0" applyAlignment="1" applyBorder="1" applyFont="1" applyNumberFormat="1">
      <alignment horizontal="center"/>
    </xf>
    <xf borderId="1" fillId="2" fontId="15" numFmtId="0" xfId="0" applyBorder="1" applyFont="1"/>
    <xf borderId="24" fillId="2" fontId="16" numFmtId="0" xfId="0" applyAlignment="1" applyBorder="1" applyFont="1">
      <alignment horizontal="left" vertical="center"/>
    </xf>
    <xf borderId="38" fillId="0" fontId="14" numFmtId="0" xfId="0" applyAlignment="1" applyBorder="1" applyFont="1">
      <alignment horizontal="center" readingOrder="0"/>
    </xf>
    <xf borderId="26" fillId="2" fontId="16" numFmtId="164" xfId="0" applyAlignment="1" applyBorder="1" applyFont="1" applyNumberFormat="1">
      <alignment horizontal="center" vertical="center"/>
    </xf>
    <xf borderId="36" fillId="2" fontId="17" numFmtId="2" xfId="0" applyAlignment="1" applyBorder="1" applyFont="1" applyNumberFormat="1">
      <alignment horizontal="center"/>
    </xf>
    <xf borderId="39" fillId="5" fontId="1" numFmtId="0" xfId="0" applyAlignment="1" applyBorder="1" applyFill="1" applyFont="1">
      <alignment horizontal="center"/>
    </xf>
    <xf borderId="38" fillId="2" fontId="17" numFmtId="0" xfId="0" applyAlignment="1" applyBorder="1" applyFont="1">
      <alignment horizontal="center" readingOrder="0"/>
    </xf>
    <xf borderId="40" fillId="0" fontId="3" numFmtId="0" xfId="0" applyBorder="1" applyFont="1"/>
    <xf borderId="38" fillId="2" fontId="17" numFmtId="0" xfId="0" applyAlignment="1" applyBorder="1" applyFont="1">
      <alignment horizontal="center"/>
    </xf>
    <xf borderId="34" fillId="2" fontId="18" numFmtId="0" xfId="0" applyAlignment="1" applyBorder="1" applyFont="1">
      <alignment horizontal="center"/>
    </xf>
    <xf borderId="34" fillId="2" fontId="16" numFmtId="0" xfId="0" applyAlignment="1" applyBorder="1" applyFont="1">
      <alignment horizontal="left" vertical="center"/>
    </xf>
    <xf borderId="38" fillId="0" fontId="14" numFmtId="0" xfId="0" applyAlignment="1" applyBorder="1" applyFont="1">
      <alignment horizontal="center"/>
    </xf>
    <xf borderId="38" fillId="2" fontId="16" numFmtId="164" xfId="0" applyAlignment="1" applyBorder="1" applyFont="1" applyNumberFormat="1">
      <alignment horizontal="center" vertical="center"/>
    </xf>
    <xf borderId="41" fillId="0" fontId="0" numFmtId="0" xfId="0" applyAlignment="1" applyBorder="1" applyFont="1">
      <alignment horizontal="center"/>
    </xf>
    <xf borderId="34" fillId="2" fontId="19" numFmtId="164" xfId="0" applyAlignment="1" applyBorder="1" applyFont="1" applyNumberFormat="1">
      <alignment horizontal="center"/>
    </xf>
    <xf borderId="38" fillId="2" fontId="0" numFmtId="0" xfId="0" applyAlignment="1" applyBorder="1" applyFont="1">
      <alignment horizontal="center"/>
    </xf>
    <xf borderId="42" fillId="2" fontId="20" numFmtId="0" xfId="0" applyAlignment="1" applyBorder="1" applyFont="1">
      <alignment horizontal="left" vertical="center"/>
    </xf>
    <xf borderId="1" fillId="2" fontId="15" numFmtId="0" xfId="0" applyAlignment="1" applyBorder="1" applyFont="1">
      <alignment horizontal="left"/>
    </xf>
    <xf borderId="43" fillId="2" fontId="20" numFmtId="164" xfId="0" applyAlignment="1" applyBorder="1" applyFont="1" applyNumberFormat="1">
      <alignment horizontal="center" vertical="center"/>
    </xf>
    <xf borderId="1" fillId="2" fontId="18" numFmtId="1" xfId="0" applyBorder="1" applyFont="1" applyNumberFormat="1"/>
    <xf borderId="41" fillId="2" fontId="19" numFmtId="14" xfId="0" applyAlignment="1" applyBorder="1" applyFont="1" applyNumberFormat="1">
      <alignment horizontal="center" readingOrder="0"/>
    </xf>
    <xf borderId="44" fillId="2" fontId="0" numFmtId="0" xfId="0" applyAlignment="1" applyBorder="1" applyFont="1">
      <alignment horizontal="center"/>
    </xf>
    <xf borderId="45" fillId="4" fontId="11" numFmtId="0" xfId="0" applyAlignment="1" applyBorder="1" applyFont="1">
      <alignment horizontal="left" vertical="center"/>
    </xf>
    <xf borderId="46" fillId="0" fontId="14" numFmtId="2" xfId="0" applyAlignment="1" applyBorder="1" applyFont="1" applyNumberFormat="1">
      <alignment horizontal="center"/>
    </xf>
    <xf borderId="44" fillId="0" fontId="14" numFmtId="0" xfId="0" applyAlignment="1" applyBorder="1" applyFont="1">
      <alignment horizontal="center" readingOrder="0"/>
    </xf>
    <xf borderId="44" fillId="0" fontId="14" numFmtId="0" xfId="0" applyAlignment="1" applyBorder="1" applyFont="1">
      <alignment horizontal="center"/>
    </xf>
    <xf borderId="47" fillId="4" fontId="11" numFmtId="164" xfId="0" applyAlignment="1" applyBorder="1" applyFont="1" applyNumberFormat="1">
      <alignment horizontal="center" vertical="center"/>
    </xf>
    <xf borderId="1" fillId="2" fontId="4" numFmtId="0" xfId="0" applyAlignment="1" applyBorder="1" applyFont="1">
      <alignment horizontal="center"/>
    </xf>
    <xf borderId="48" fillId="2" fontId="16" numFmtId="0" xfId="0" applyAlignment="1" applyBorder="1" applyFont="1">
      <alignment horizontal="left" vertical="center"/>
    </xf>
    <xf borderId="39" fillId="2" fontId="18" numFmtId="0" xfId="0" applyAlignment="1" applyBorder="1" applyFont="1">
      <alignment horizontal="center"/>
    </xf>
    <xf borderId="49" fillId="2" fontId="16" numFmtId="164" xfId="0" applyAlignment="1" applyBorder="1" applyFont="1" applyNumberFormat="1">
      <alignment horizontal="center" vertical="center"/>
    </xf>
    <xf borderId="25" fillId="0" fontId="21" numFmtId="0" xfId="0" applyAlignment="1" applyBorder="1" applyFont="1">
      <alignment horizontal="center"/>
    </xf>
    <xf borderId="50" fillId="0" fontId="3" numFmtId="0" xfId="0" applyBorder="1" applyFont="1"/>
    <xf borderId="51" fillId="0" fontId="22" numFmtId="0" xfId="0" applyAlignment="1" applyBorder="1" applyFont="1">
      <alignment horizontal="center"/>
    </xf>
    <xf borderId="52" fillId="0" fontId="3" numFmtId="0" xfId="0" applyBorder="1" applyFont="1"/>
    <xf borderId="53" fillId="0" fontId="3" numFmtId="0" xfId="0" applyBorder="1" applyFont="1"/>
    <xf borderId="34" fillId="2" fontId="4" numFmtId="0" xfId="0" applyAlignment="1" applyBorder="1" applyFont="1">
      <alignment horizontal="left" vertical="center"/>
    </xf>
    <xf borderId="54" fillId="0" fontId="3" numFmtId="0" xfId="0" applyBorder="1" applyFont="1"/>
    <xf borderId="38" fillId="2" fontId="20" numFmtId="164" xfId="0" applyAlignment="1" applyBorder="1" applyFont="1" applyNumberFormat="1">
      <alignment horizontal="center" vertical="center"/>
    </xf>
    <xf borderId="55" fillId="2" fontId="0" numFmtId="0" xfId="0" applyBorder="1" applyFont="1"/>
    <xf borderId="26" fillId="2" fontId="18" numFmtId="0" xfId="0" applyBorder="1" applyFont="1"/>
    <xf borderId="34" fillId="2" fontId="19" numFmtId="10" xfId="0" applyAlignment="1" applyBorder="1" applyFont="1" applyNumberFormat="1">
      <alignment horizontal="center"/>
    </xf>
    <xf borderId="38" fillId="2" fontId="4" numFmtId="0" xfId="0" applyAlignment="1" applyBorder="1" applyFont="1">
      <alignment horizontal="center"/>
    </xf>
    <xf borderId="56" fillId="0" fontId="22" numFmtId="0" xfId="0" applyAlignment="1" applyBorder="1" applyFont="1">
      <alignment horizontal="center"/>
    </xf>
    <xf borderId="57" fillId="0" fontId="3" numFmtId="0" xfId="0" applyBorder="1" applyFont="1"/>
    <xf borderId="34" fillId="2" fontId="18" numFmtId="0" xfId="0" applyBorder="1" applyFont="1"/>
    <xf borderId="36" fillId="2" fontId="18" numFmtId="0" xfId="0" applyBorder="1" applyFont="1"/>
    <xf borderId="58" fillId="0" fontId="22" numFmtId="0" xfId="0" applyAlignment="1" applyBorder="1" applyFont="1">
      <alignment horizontal="center"/>
    </xf>
    <xf borderId="59" fillId="2" fontId="19" numFmtId="10" xfId="0" applyAlignment="1" applyBorder="1" applyFont="1" applyNumberFormat="1">
      <alignment horizontal="center"/>
    </xf>
    <xf borderId="43" fillId="2" fontId="4" numFmtId="0" xfId="0" applyAlignment="1" applyBorder="1" applyFont="1">
      <alignment horizontal="center"/>
    </xf>
    <xf borderId="38" fillId="2" fontId="18" numFmtId="2" xfId="0" applyAlignment="1" applyBorder="1" applyFont="1" applyNumberFormat="1">
      <alignment horizontal="center"/>
    </xf>
    <xf borderId="1" fillId="2" fontId="4" numFmtId="0" xfId="0" applyAlignment="1" applyBorder="1" applyFont="1">
      <alignment horizontal="left" shrinkToFit="0" wrapText="1"/>
    </xf>
    <xf borderId="49" fillId="2" fontId="20" numFmtId="164" xfId="0" applyAlignment="1" applyBorder="1" applyFont="1" applyNumberFormat="1">
      <alignment horizontal="center" vertical="center"/>
    </xf>
    <xf borderId="60" fillId="0" fontId="3" numFmtId="0" xfId="0" applyBorder="1" applyFont="1"/>
    <xf borderId="41" fillId="2" fontId="16" numFmtId="0" xfId="0" applyAlignment="1" applyBorder="1" applyFont="1">
      <alignment horizontal="left" vertical="center"/>
    </xf>
    <xf borderId="61" fillId="0" fontId="3" numFmtId="0" xfId="0" applyBorder="1" applyFont="1"/>
    <xf borderId="44" fillId="2" fontId="16" numFmtId="164" xfId="0" applyAlignment="1" applyBorder="1" applyFont="1" applyNumberFormat="1">
      <alignment horizontal="center" vertical="center"/>
    </xf>
    <xf borderId="53" fillId="0" fontId="23" numFmtId="0" xfId="0" applyAlignment="1" applyBorder="1" applyFont="1">
      <alignment horizontal="center"/>
    </xf>
    <xf borderId="45" fillId="4" fontId="11" numFmtId="0" xfId="0" applyAlignment="1" applyBorder="1" applyFont="1">
      <alignment horizontal="left"/>
    </xf>
    <xf borderId="47" fillId="4" fontId="11" numFmtId="164" xfId="0" applyAlignment="1" applyBorder="1" applyFont="1" applyNumberFormat="1">
      <alignment horizontal="center"/>
    </xf>
    <xf borderId="41" fillId="2" fontId="19" numFmtId="10" xfId="0" applyAlignment="1" applyBorder="1" applyFont="1" applyNumberFormat="1">
      <alignment horizontal="center"/>
    </xf>
    <xf borderId="44" fillId="2" fontId="4" numFmtId="0" xfId="0" applyAlignment="1" applyBorder="1" applyFont="1">
      <alignment horizontal="center"/>
    </xf>
    <xf borderId="34" fillId="2" fontId="18" numFmtId="0" xfId="0" applyAlignment="1" applyBorder="1" applyFont="1">
      <alignment horizontal="right"/>
    </xf>
    <xf borderId="56" fillId="0" fontId="24" numFmtId="0" xfId="0" applyAlignment="1" applyBorder="1" applyFont="1">
      <alignment horizontal="center" shrinkToFit="0" vertical="center" wrapText="1"/>
    </xf>
    <xf borderId="36" fillId="2" fontId="18" numFmtId="0" xfId="0" applyAlignment="1" applyBorder="1" applyFont="1">
      <alignment horizontal="center"/>
    </xf>
    <xf borderId="62" fillId="0" fontId="3" numFmtId="0" xfId="0" applyBorder="1" applyFont="1"/>
    <xf borderId="63" fillId="0" fontId="3" numFmtId="0" xfId="0" applyBorder="1" applyFont="1"/>
    <xf borderId="36" fillId="2" fontId="0" numFmtId="10" xfId="0" applyAlignment="1" applyBorder="1" applyFont="1" applyNumberFormat="1">
      <alignment horizontal="center"/>
    </xf>
    <xf borderId="64" fillId="2" fontId="25" numFmtId="0" xfId="0" applyAlignment="1" applyBorder="1" applyFont="1">
      <alignment horizontal="center"/>
    </xf>
    <xf borderId="65" fillId="0" fontId="3" numFmtId="0" xfId="0" applyBorder="1" applyFont="1"/>
    <xf borderId="34" fillId="2" fontId="19" numFmtId="165" xfId="0" applyAlignment="1" applyBorder="1" applyFont="1" applyNumberFormat="1">
      <alignment horizontal="center"/>
    </xf>
    <xf borderId="22" fillId="2" fontId="25" numFmtId="14" xfId="0" applyAlignment="1" applyBorder="1" applyFont="1" applyNumberFormat="1">
      <alignment horizontal="center"/>
    </xf>
    <xf borderId="41" fillId="2" fontId="19" numFmtId="164" xfId="0" applyAlignment="1" applyBorder="1" applyFont="1" applyNumberFormat="1">
      <alignment horizontal="center"/>
    </xf>
    <xf borderId="1" fillId="2" fontId="0" numFmtId="0" xfId="0" applyAlignment="1" applyBorder="1" applyFont="1">
      <alignment horizontal="center" vertical="center"/>
    </xf>
    <xf borderId="51" fillId="2" fontId="0" numFmtId="0" xfId="0" applyAlignment="1" applyBorder="1" applyFont="1">
      <alignment horizontal="center" shrinkToFit="0" vertical="center" wrapText="1"/>
    </xf>
    <xf borderId="1" fillId="2" fontId="18" numFmtId="0" xfId="0" applyBorder="1" applyFont="1"/>
    <xf borderId="66" fillId="2" fontId="0" numFmtId="0" xfId="0" applyBorder="1" applyFont="1"/>
    <xf borderId="1" fillId="2" fontId="18" numFmtId="0" xfId="0" applyAlignment="1" applyBorder="1" applyFont="1">
      <alignment horizontal="center"/>
    </xf>
    <xf borderId="66" fillId="2" fontId="0" numFmtId="0" xfId="0" applyAlignment="1" applyBorder="1" applyFont="1">
      <alignment horizontal="left"/>
    </xf>
    <xf borderId="58" fillId="0" fontId="3" numFmtId="0" xfId="0" applyBorder="1" applyFont="1"/>
    <xf borderId="38" fillId="2" fontId="18" numFmtId="3" xfId="0" applyAlignment="1" applyBorder="1" applyFont="1" applyNumberFormat="1">
      <alignment horizontal="center"/>
    </xf>
    <xf borderId="0" fillId="0" fontId="15" numFmtId="0" xfId="0" applyFont="1"/>
    <xf borderId="0" fillId="0" fontId="15" numFmtId="0" xfId="0" applyAlignment="1" applyFont="1">
      <alignment horizontal="left"/>
    </xf>
    <xf borderId="0" fillId="0" fontId="26" numFmtId="0" xfId="0" applyAlignment="1" applyFont="1">
      <alignment horizontal="center"/>
    </xf>
    <xf borderId="41" fillId="2" fontId="18" numFmtId="0" xfId="0" applyBorder="1" applyFont="1"/>
    <xf borderId="46" fillId="2" fontId="18" numFmtId="0" xfId="0" applyBorder="1" applyFont="1"/>
    <xf borderId="44" fillId="2" fontId="18" numFmtId="3" xfId="0" applyAlignment="1" applyBorder="1" applyFont="1" applyNumberFormat="1">
      <alignment horizontal="center"/>
    </xf>
    <xf borderId="36" fillId="2" fontId="18" numFmtId="164" xfId="0" applyAlignment="1" applyBorder="1" applyFont="1" applyNumberFormat="1">
      <alignment horizontal="center"/>
    </xf>
    <xf borderId="46" fillId="2" fontId="18" numFmtId="0" xfId="0" applyAlignment="1" applyBorder="1" applyFont="1">
      <alignment horizontal="center"/>
    </xf>
    <xf borderId="46" fillId="2" fontId="0" numFmtId="10" xfId="0" applyAlignment="1" applyBorder="1" applyFont="1" applyNumberFormat="1">
      <alignment horizontal="center"/>
    </xf>
    <xf borderId="1" fillId="2" fontId="18" numFmtId="14" xfId="0" applyBorder="1" applyFont="1" applyNumberFormat="1"/>
    <xf borderId="26" fillId="2" fontId="18" numFmtId="164" xfId="0" applyAlignment="1" applyBorder="1" applyFont="1" applyNumberFormat="1">
      <alignment horizontal="center"/>
    </xf>
    <xf borderId="1" fillId="2" fontId="18" numFmtId="2" xfId="0" applyBorder="1" applyFont="1" applyNumberFormat="1"/>
    <xf borderId="38" fillId="2" fontId="18" numFmtId="10" xfId="0" applyAlignment="1" applyBorder="1" applyFont="1" applyNumberFormat="1">
      <alignment horizontal="center"/>
    </xf>
    <xf borderId="41" fillId="2" fontId="18" numFmtId="0" xfId="0" applyAlignment="1" applyBorder="1" applyFont="1">
      <alignment horizontal="center"/>
    </xf>
    <xf borderId="44" fillId="2" fontId="18" numFmtId="2" xfId="0" applyAlignment="1" applyBorder="1" applyFont="1" applyNumberFormat="1">
      <alignment horizontal="center"/>
    </xf>
    <xf borderId="67" fillId="2" fontId="18" numFmtId="164" xfId="0" applyAlignment="1" applyBorder="1" applyFont="1" applyNumberFormat="1">
      <alignment horizontal="center"/>
    </xf>
    <xf borderId="68" fillId="2" fontId="18" numFmtId="0" xfId="0" applyAlignment="1" applyBorder="1" applyFont="1">
      <alignment horizontal="center"/>
    </xf>
    <xf borderId="34" fillId="2" fontId="0" numFmtId="0" xfId="0" applyAlignment="1" applyBorder="1" applyFont="1">
      <alignment horizontal="right"/>
    </xf>
    <xf borderId="1" fillId="2" fontId="18" numFmtId="2" xfId="0" applyAlignment="1" applyBorder="1" applyFont="1" applyNumberFormat="1">
      <alignment horizontal="center"/>
    </xf>
    <xf borderId="41" fillId="2" fontId="18" numFmtId="0" xfId="0" applyAlignment="1" applyBorder="1" applyFont="1">
      <alignment horizontal="right"/>
    </xf>
    <xf borderId="44" fillId="2" fontId="18" numFmtId="10" xfId="0" applyAlignment="1" applyBorder="1" applyFont="1" applyNumberFormat="1">
      <alignment horizontal="center"/>
    </xf>
    <xf borderId="1" fillId="2" fontId="18" numFmtId="3" xfId="0" applyAlignment="1" applyBorder="1" applyFont="1" applyNumberFormat="1">
      <alignment horizontal="center"/>
    </xf>
  </cellXfs>
  <cellStyles count="1">
    <cellStyle xfId="0" name="Normal" builtinId="0"/>
  </cellStyles>
  <dxfs count="6">
    <dxf>
      <font/>
      <fill>
        <patternFill patternType="solid">
          <fgColor rgb="FFFF0000"/>
          <bgColor rgb="FFFF0000"/>
        </patternFill>
      </fill>
      <border/>
    </dxf>
    <dxf>
      <font>
        <color rgb="FFFFFFFF"/>
      </font>
      <fill>
        <patternFill patternType="none"/>
      </fill>
      <border/>
    </dxf>
    <dxf>
      <font>
        <color rgb="FF0000FF"/>
      </font>
      <fill>
        <patternFill patternType="none"/>
      </fill>
      <border/>
    </dxf>
    <dxf>
      <font>
        <b/>
        <color rgb="FFFFFFFF"/>
      </font>
      <fill>
        <patternFill patternType="solid">
          <fgColor rgb="FFFF0000"/>
          <bgColor rgb="FFFF0000"/>
        </patternFill>
      </fill>
      <border/>
    </dxf>
    <dxf>
      <font>
        <color rgb="FFFFFFFF"/>
      </font>
      <fill>
        <patternFill patternType="solid">
          <fgColor rgb="FFFF0000"/>
          <bgColor rgb="FFFF0000"/>
        </patternFill>
      </fill>
      <border/>
    </dxf>
    <dxf>
      <font>
        <color rgb="FF000000"/>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3752850</xdr:colOff>
      <xdr:row>1</xdr:row>
      <xdr:rowOff>104775</xdr:rowOff>
    </xdr:from>
    <xdr:ext cx="1857375" cy="1171575"/>
    <xdr:sp>
      <xdr:nvSpPr>
        <xdr:cNvPr id="3" name="Shape 3"/>
        <xdr:cNvSpPr txBox="1"/>
      </xdr:nvSpPr>
      <xdr:spPr>
        <a:xfrm>
          <a:off x="4417313" y="3198975"/>
          <a:ext cx="1857375" cy="11620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lang="en-US" sz="1800">
              <a:solidFill>
                <a:schemeClr val="dk1"/>
              </a:solidFill>
              <a:latin typeface="Tahoma"/>
              <a:ea typeface="Tahoma"/>
              <a:cs typeface="Tahoma"/>
              <a:sym typeface="Tahoma"/>
            </a:rPr>
            <a:t>Estimated</a:t>
          </a:r>
          <a:endParaRPr sz="1400"/>
        </a:p>
        <a:p>
          <a:pPr indent="0" lvl="0" marL="0" rtl="0" algn="ctr">
            <a:spcBef>
              <a:spcPts val="0"/>
            </a:spcBef>
            <a:spcAft>
              <a:spcPts val="0"/>
            </a:spcAft>
            <a:buNone/>
          </a:pPr>
          <a:r>
            <a:rPr lang="en-US" sz="1800">
              <a:solidFill>
                <a:schemeClr val="dk1"/>
              </a:solidFill>
              <a:latin typeface="Tahoma"/>
              <a:ea typeface="Tahoma"/>
              <a:cs typeface="Tahoma"/>
              <a:sym typeface="Tahoma"/>
            </a:rPr>
            <a:t>Seller</a:t>
          </a:r>
          <a:endParaRPr sz="1400"/>
        </a:p>
        <a:p>
          <a:pPr indent="0" lvl="0" marL="0" rtl="0" algn="ctr">
            <a:spcBef>
              <a:spcPts val="0"/>
            </a:spcBef>
            <a:spcAft>
              <a:spcPts val="0"/>
            </a:spcAft>
            <a:buNone/>
          </a:pPr>
          <a:r>
            <a:rPr lang="en-US" sz="1800">
              <a:solidFill>
                <a:schemeClr val="dk1"/>
              </a:solidFill>
              <a:latin typeface="Tahoma"/>
              <a:ea typeface="Tahoma"/>
              <a:cs typeface="Tahoma"/>
              <a:sym typeface="Tahoma"/>
            </a:rPr>
            <a:t> </a:t>
          </a:r>
          <a:r>
            <a:rPr lang="en-US" sz="1800">
              <a:solidFill>
                <a:schemeClr val="dk1"/>
              </a:solidFill>
              <a:latin typeface="Tahoma"/>
              <a:ea typeface="Tahoma"/>
              <a:cs typeface="Tahoma"/>
              <a:sym typeface="Tahoma"/>
            </a:rPr>
            <a:t>Net Proceeds</a:t>
          </a:r>
          <a:endParaRPr sz="1400"/>
        </a:p>
      </xdr:txBody>
    </xdr:sp>
    <xdr:clientData fLocksWithSheet="0"/>
  </xdr:oneCellAnchor>
  <xdr:oneCellAnchor>
    <xdr:from>
      <xdr:col>4</xdr:col>
      <xdr:colOff>85725</xdr:colOff>
      <xdr:row>1</xdr:row>
      <xdr:rowOff>104775</xdr:rowOff>
    </xdr:from>
    <xdr:ext cx="2219325" cy="1009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66675</xdr:colOff>
      <xdr:row>1</xdr:row>
      <xdr:rowOff>85725</xdr:rowOff>
    </xdr:from>
    <xdr:ext cx="3448050" cy="1019175"/>
    <xdr:pic>
      <xdr:nvPicPr>
        <xdr:cNvPr descr="State Street Title Logo.jpg"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upkeeppropertyservices.com/"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3"/>
    <col customWidth="1" min="2" max="2" width="68.43"/>
    <col customWidth="1" min="3" max="3" width="15.43"/>
    <col customWidth="1" min="4" max="4" width="2.71"/>
    <col customWidth="1" min="5" max="5" width="16.43"/>
    <col customWidth="1" min="6" max="6" width="19.57"/>
    <col customWidth="1" min="7" max="7" width="2.0"/>
    <col customWidth="1" min="8" max="26" width="8.71"/>
  </cols>
  <sheetData>
    <row r="1" ht="6.75" customHeight="1">
      <c r="A1" s="1"/>
      <c r="B1" s="1"/>
      <c r="C1" s="1"/>
      <c r="D1" s="1"/>
      <c r="E1" s="3"/>
      <c r="F1" s="3"/>
      <c r="G1" s="1"/>
      <c r="H1" s="3"/>
      <c r="I1" s="3"/>
    </row>
    <row r="2" ht="15.0" customHeight="1">
      <c r="A2" s="1"/>
      <c r="B2" s="4"/>
      <c r="C2" s="5"/>
      <c r="D2" s="1"/>
      <c r="E2" s="6"/>
      <c r="F2" s="7"/>
      <c r="G2" s="1"/>
      <c r="H2" s="8" t="s">
        <v>3</v>
      </c>
      <c r="I2" s="9"/>
      <c r="J2" s="9"/>
      <c r="K2" s="10"/>
    </row>
    <row r="3">
      <c r="A3" s="11"/>
      <c r="B3" s="12"/>
      <c r="C3" s="13"/>
      <c r="D3" s="14"/>
      <c r="E3" s="15"/>
      <c r="F3" s="16"/>
      <c r="G3" s="1"/>
      <c r="H3" s="17"/>
      <c r="K3" s="18"/>
    </row>
    <row r="4">
      <c r="A4" s="11"/>
      <c r="B4" s="12"/>
      <c r="C4" s="13"/>
      <c r="D4" s="14"/>
      <c r="E4" s="15"/>
      <c r="F4" s="16"/>
      <c r="G4" s="1"/>
      <c r="H4" s="17"/>
      <c r="K4" s="18"/>
    </row>
    <row r="5">
      <c r="A5" s="11"/>
      <c r="B5" s="12"/>
      <c r="C5" s="13"/>
      <c r="D5" s="11"/>
      <c r="E5" s="15"/>
      <c r="F5" s="16"/>
      <c r="G5" s="1"/>
      <c r="H5" s="17"/>
      <c r="K5" s="18"/>
    </row>
    <row r="6">
      <c r="A6" s="11"/>
      <c r="B6" s="12"/>
      <c r="C6" s="13"/>
      <c r="D6" s="19"/>
      <c r="E6" s="15"/>
      <c r="F6" s="16"/>
      <c r="G6" s="1"/>
      <c r="H6" s="17"/>
      <c r="K6" s="18"/>
    </row>
    <row r="7">
      <c r="A7" s="11"/>
      <c r="B7" s="12"/>
      <c r="C7" s="13"/>
      <c r="D7" s="11"/>
      <c r="E7" s="15"/>
      <c r="F7" s="16"/>
      <c r="G7" s="1"/>
      <c r="H7" s="17"/>
      <c r="K7" s="18"/>
    </row>
    <row r="8" ht="18.75" customHeight="1">
      <c r="A8" s="11"/>
      <c r="B8" s="20" t="s">
        <v>4</v>
      </c>
      <c r="C8" s="21"/>
      <c r="D8" s="11"/>
      <c r="E8" s="22" t="s">
        <v>5</v>
      </c>
      <c r="F8" s="23"/>
      <c r="G8" s="1"/>
      <c r="H8" s="24"/>
      <c r="I8" s="25"/>
      <c r="J8" s="25"/>
      <c r="K8" s="26"/>
    </row>
    <row r="9" ht="16.5" customHeight="1">
      <c r="A9" s="11"/>
      <c r="B9" s="27" t="s">
        <v>6</v>
      </c>
      <c r="C9" s="28"/>
      <c r="D9" s="11"/>
      <c r="E9" s="31" t="s">
        <v>7</v>
      </c>
      <c r="F9" s="23"/>
      <c r="G9" s="1"/>
      <c r="H9" s="3"/>
    </row>
    <row r="10" ht="16.5" customHeight="1">
      <c r="A10" s="11"/>
      <c r="B10" s="32" t="s">
        <v>8</v>
      </c>
      <c r="C10" s="34">
        <v>43466.0</v>
      </c>
      <c r="D10" s="11"/>
      <c r="E10" s="39" t="s">
        <v>9</v>
      </c>
      <c r="F10" s="41"/>
      <c r="G10" s="1"/>
      <c r="H10" s="3"/>
      <c r="I10" s="3"/>
    </row>
    <row r="11" ht="16.5" customHeight="1">
      <c r="A11" s="11"/>
      <c r="B11" s="43" t="s">
        <v>10</v>
      </c>
      <c r="C11" s="45">
        <v>0.0</v>
      </c>
      <c r="D11" s="11"/>
      <c r="E11" s="1"/>
      <c r="F11" s="1"/>
      <c r="G11" s="1"/>
      <c r="H11" s="3"/>
      <c r="I11" s="3"/>
    </row>
    <row r="12" ht="16.5" customHeight="1">
      <c r="A12" s="11"/>
      <c r="B12" s="48" t="str">
        <f> "Winter Tax ($" &amp; E13 &amp; ")" &amp; " - Credit for " &amp; TEXT(C10,"mmm dd, yyyy") &amp; " to " &amp; TEXT(E14,"mmm dd, yyyy")</f>
        <v>Winter Tax ($0) - Credit for Jan 01, 2019 to Nov 30, 2019</v>
      </c>
      <c r="C12" s="50">
        <f>IF(AND(E14&gt;C10,E14&lt;(C10+365)),'Calculation Tables'!D9,0)</f>
        <v>0</v>
      </c>
      <c r="D12" s="11"/>
      <c r="E12" s="52" t="s">
        <v>11</v>
      </c>
      <c r="F12" s="54"/>
      <c r="G12" s="1"/>
      <c r="H12" s="3"/>
    </row>
    <row r="13" ht="16.5" customHeight="1">
      <c r="A13" s="11"/>
      <c r="B13" s="57" t="str">
        <f> "Summer Tax ($" &amp;E17 &amp; ")" &amp; " - Credit for " &amp; TEXT(C10,"mmm dd, yyyy") &amp; " to " &amp; TEXT(E18,"mmm dd, yyyy")</f>
        <v>Summer Tax ($0) - Credit for Jan 01, 2019 to Jun 30, 2019</v>
      </c>
      <c r="C13" s="59">
        <f>IF(AND(E18&gt;C10,E18&lt;(C10+365)),'Calculation Tables'!D10,0)</f>
        <v>0</v>
      </c>
      <c r="D13" s="11"/>
      <c r="E13" s="61">
        <v>0.0</v>
      </c>
      <c r="F13" s="62" t="s">
        <v>12</v>
      </c>
      <c r="G13" s="1"/>
      <c r="H13" s="3"/>
    </row>
    <row r="14" ht="16.5" customHeight="1">
      <c r="A14" s="11"/>
      <c r="B14" s="63" t="s">
        <v>13</v>
      </c>
      <c r="C14" s="65">
        <v>0.0</v>
      </c>
      <c r="D14" s="11"/>
      <c r="E14" s="67">
        <v>43799.0</v>
      </c>
      <c r="F14" s="68" t="s">
        <v>15</v>
      </c>
      <c r="G14" s="1"/>
      <c r="H14" s="3"/>
    </row>
    <row r="15" ht="16.5" customHeight="1">
      <c r="A15" s="11"/>
      <c r="B15" s="69" t="s">
        <v>16</v>
      </c>
      <c r="C15" s="73">
        <f>SUM(C11:C14)</f>
        <v>0</v>
      </c>
      <c r="D15" s="11"/>
      <c r="E15" s="1"/>
      <c r="F15" s="1"/>
      <c r="G15" s="1"/>
      <c r="H15" s="3"/>
    </row>
    <row r="16" ht="16.5" customHeight="1">
      <c r="A16" s="74"/>
      <c r="B16" s="75" t="str">
        <f>"Marketing Fee  (" &amp; VLOOKUP(C11,'Calculation Tables'!F5:G15,2, 1)&amp; ")"</f>
        <v>Marketing Fee  (P60)</v>
      </c>
      <c r="C16" s="77">
        <f>SUM('Calculation Tables'!G18:G28)</f>
        <v>0</v>
      </c>
      <c r="D16" s="11"/>
      <c r="E16" s="52" t="s">
        <v>18</v>
      </c>
      <c r="F16" s="54"/>
      <c r="G16" s="1"/>
      <c r="H16" s="3"/>
    </row>
    <row r="17" ht="16.5" customHeight="1">
      <c r="A17" s="11"/>
      <c r="B17" s="57" t="s">
        <v>19</v>
      </c>
      <c r="C17" s="77">
        <f>0.0011*C11</f>
        <v>0</v>
      </c>
      <c r="D17" s="11"/>
      <c r="E17" s="61">
        <v>0.0</v>
      </c>
      <c r="F17" s="62" t="s">
        <v>12</v>
      </c>
      <c r="G17" s="1"/>
      <c r="H17" s="3"/>
    </row>
    <row r="18" ht="16.5" customHeight="1">
      <c r="A18" s="11"/>
      <c r="B18" s="57" t="s">
        <v>21</v>
      </c>
      <c r="C18" s="59">
        <f>0.0075*C11</f>
        <v>0</v>
      </c>
      <c r="D18" s="11"/>
      <c r="E18" s="67">
        <v>43646.0</v>
      </c>
      <c r="F18" s="68" t="s">
        <v>15</v>
      </c>
      <c r="G18" s="1"/>
      <c r="H18" s="3"/>
      <c r="I18" s="3"/>
    </row>
    <row r="19" ht="16.5" customHeight="1">
      <c r="A19" s="11"/>
      <c r="B19" s="83" t="s">
        <v>23</v>
      </c>
      <c r="C19" s="59">
        <f>'Calculation Tables'!B21</f>
        <v>0</v>
      </c>
      <c r="D19" s="11"/>
      <c r="E19" s="1"/>
      <c r="F19" s="1"/>
      <c r="G19" s="1"/>
      <c r="H19" s="3"/>
      <c r="I19" s="3"/>
    </row>
    <row r="20" ht="16.5" customHeight="1">
      <c r="A20" s="11"/>
      <c r="B20" s="57" t="s">
        <v>24</v>
      </c>
      <c r="C20" s="85">
        <v>0.0</v>
      </c>
      <c r="D20" s="11"/>
      <c r="E20" s="52" t="s">
        <v>26</v>
      </c>
      <c r="F20" s="54"/>
      <c r="G20" s="1"/>
      <c r="H20" s="3"/>
      <c r="I20" s="3"/>
    </row>
    <row r="21" ht="16.5" customHeight="1">
      <c r="A21" s="11"/>
      <c r="B21" s="57" t="s">
        <v>27</v>
      </c>
      <c r="C21" s="85">
        <v>0.0</v>
      </c>
      <c r="D21" s="11"/>
      <c r="E21" s="88">
        <v>0.06</v>
      </c>
      <c r="F21" s="89" t="s">
        <v>29</v>
      </c>
      <c r="G21" s="1"/>
      <c r="H21" s="3"/>
      <c r="I21" s="3"/>
    </row>
    <row r="22" ht="16.5" customHeight="1">
      <c r="A22" s="11"/>
      <c r="B22" s="57" t="s">
        <v>30</v>
      </c>
      <c r="C22" s="85">
        <v>0.0</v>
      </c>
      <c r="D22" s="11"/>
      <c r="E22" s="88">
        <v>0.06</v>
      </c>
      <c r="F22" s="89" t="s">
        <v>31</v>
      </c>
      <c r="G22" s="1"/>
      <c r="H22" s="3"/>
      <c r="I22" s="3"/>
    </row>
    <row r="23" ht="16.5" customHeight="1">
      <c r="A23" s="11"/>
      <c r="B23" s="57" t="str">
        <f>"Seller Concessions (" &amp; (IF(C11&gt;0,ROUND((C23/C11*100),2),0)) &amp; "%)"</f>
        <v>Seller Concessions (0%)</v>
      </c>
      <c r="C23" s="59">
        <f>IF(E34&gt;0,E34*C11,E35)</f>
        <v>0</v>
      </c>
      <c r="D23" s="11"/>
      <c r="E23" s="88">
        <v>0.06</v>
      </c>
      <c r="F23" s="89" t="s">
        <v>35</v>
      </c>
      <c r="G23" s="1"/>
      <c r="H23" s="3"/>
      <c r="I23" s="3"/>
    </row>
    <row r="24" ht="16.5" customHeight="1">
      <c r="A24" s="74"/>
      <c r="B24" s="57" t="s">
        <v>36</v>
      </c>
      <c r="C24" s="85">
        <v>0.0</v>
      </c>
      <c r="D24" s="19"/>
      <c r="E24" s="88">
        <v>0.06</v>
      </c>
      <c r="F24" s="89" t="s">
        <v>37</v>
      </c>
      <c r="G24" s="1"/>
      <c r="H24" s="3"/>
      <c r="I24" s="3"/>
    </row>
    <row r="25" ht="16.5" customHeight="1">
      <c r="A25" s="11"/>
      <c r="B25" s="57" t="s">
        <v>38</v>
      </c>
      <c r="C25" s="85">
        <v>0.0</v>
      </c>
      <c r="D25" s="11"/>
      <c r="E25" s="88">
        <v>0.06</v>
      </c>
      <c r="F25" s="89" t="s">
        <v>39</v>
      </c>
      <c r="G25" s="1"/>
      <c r="H25" s="3"/>
      <c r="I25" s="3"/>
    </row>
    <row r="26" ht="16.5" customHeight="1">
      <c r="A26" s="11"/>
      <c r="B26" s="63" t="s">
        <v>40</v>
      </c>
      <c r="C26" s="65">
        <v>0.0</v>
      </c>
      <c r="D26" s="11"/>
      <c r="E26" s="95">
        <v>0.06</v>
      </c>
      <c r="F26" s="96" t="s">
        <v>41</v>
      </c>
      <c r="G26" s="1"/>
      <c r="H26" s="3"/>
      <c r="I26" s="3"/>
    </row>
    <row r="27" ht="16.5" customHeight="1">
      <c r="A27" s="11"/>
      <c r="B27" s="69" t="s">
        <v>42</v>
      </c>
      <c r="C27" s="73">
        <f>SUM(C16:C26)</f>
        <v>0</v>
      </c>
      <c r="D27" s="98"/>
      <c r="E27" s="88">
        <v>0.06</v>
      </c>
      <c r="F27" s="89" t="s">
        <v>43</v>
      </c>
      <c r="G27" s="1"/>
      <c r="H27" s="3"/>
      <c r="I27" s="3"/>
    </row>
    <row r="28" ht="16.5" customHeight="1">
      <c r="A28" s="11"/>
      <c r="B28" s="75" t="s">
        <v>44</v>
      </c>
      <c r="C28" s="99">
        <v>0.0</v>
      </c>
      <c r="D28" s="98"/>
      <c r="E28" s="88">
        <v>0.06</v>
      </c>
      <c r="F28" s="89" t="s">
        <v>45</v>
      </c>
      <c r="G28" s="1"/>
      <c r="H28" s="3"/>
      <c r="I28" s="3"/>
    </row>
    <row r="29" ht="16.5" customHeight="1">
      <c r="A29" s="11"/>
      <c r="B29" s="57" t="s">
        <v>46</v>
      </c>
      <c r="C29" s="85">
        <v>0.0</v>
      </c>
      <c r="D29" s="11"/>
      <c r="E29" s="88">
        <v>0.06</v>
      </c>
      <c r="F29" s="89" t="s">
        <v>47</v>
      </c>
      <c r="G29" s="1"/>
      <c r="H29" s="3"/>
      <c r="I29" s="3"/>
    </row>
    <row r="30" ht="16.5" customHeight="1">
      <c r="A30" s="11"/>
      <c r="B30" s="101" t="s">
        <v>48</v>
      </c>
      <c r="C30" s="103">
        <f>SUM(C28:C29)</f>
        <v>0</v>
      </c>
      <c r="D30" s="11"/>
      <c r="E30" s="88">
        <v>0.06</v>
      </c>
      <c r="F30" s="89" t="s">
        <v>50</v>
      </c>
      <c r="G30" s="1"/>
      <c r="H30" s="3"/>
      <c r="I30" s="3"/>
    </row>
    <row r="31" ht="16.5" customHeight="1">
      <c r="A31" s="11"/>
      <c r="B31" s="105" t="s">
        <v>51</v>
      </c>
      <c r="C31" s="106">
        <f>C15-C27-C30</f>
        <v>0</v>
      </c>
      <c r="D31" s="11"/>
      <c r="E31" s="107">
        <v>0.06</v>
      </c>
      <c r="F31" s="108" t="s">
        <v>52</v>
      </c>
      <c r="G31" s="1"/>
      <c r="H31" s="3"/>
      <c r="I31" s="3"/>
    </row>
    <row r="32" ht="16.5" customHeight="1">
      <c r="A32" s="11"/>
      <c r="B32" s="110" t="s">
        <v>53</v>
      </c>
      <c r="C32" s="91"/>
      <c r="D32" s="11"/>
      <c r="E32" s="1"/>
      <c r="F32" s="1"/>
      <c r="G32" s="1"/>
      <c r="H32" s="3"/>
      <c r="I32" s="3"/>
    </row>
    <row r="33" ht="15.0" customHeight="1">
      <c r="A33" s="11"/>
      <c r="B33" s="112"/>
      <c r="C33" s="113"/>
      <c r="D33" s="11"/>
      <c r="E33" s="52" t="s">
        <v>54</v>
      </c>
      <c r="F33" s="54"/>
      <c r="G33" s="1"/>
      <c r="H33" s="3"/>
      <c r="I33" s="3"/>
    </row>
    <row r="34" ht="15.75" customHeight="1">
      <c r="A34" s="11"/>
      <c r="B34" s="115"/>
      <c r="C34" s="116"/>
      <c r="D34" s="11"/>
      <c r="E34" s="117">
        <v>0.0</v>
      </c>
      <c r="F34" s="89" t="s">
        <v>56</v>
      </c>
      <c r="G34" s="1"/>
      <c r="H34" s="3"/>
      <c r="I34" s="3"/>
    </row>
    <row r="35" ht="15.75" customHeight="1">
      <c r="A35" s="11"/>
      <c r="B35" s="118">
        <f>TODAY()</f>
        <v>43665</v>
      </c>
      <c r="C35" s="28"/>
      <c r="D35" s="11"/>
      <c r="E35" s="119">
        <v>0.0</v>
      </c>
      <c r="F35" s="108" t="s">
        <v>58</v>
      </c>
      <c r="G35" s="1"/>
      <c r="H35" s="3"/>
      <c r="I35" s="3"/>
    </row>
    <row r="36" ht="18.75" customHeight="1">
      <c r="A36" s="1"/>
      <c r="B36" s="1"/>
      <c r="C36" s="1"/>
      <c r="D36" s="1"/>
      <c r="E36" s="120"/>
      <c r="F36" s="120"/>
      <c r="G36" s="1"/>
      <c r="H36" s="3"/>
      <c r="I36" s="3"/>
    </row>
    <row r="37" ht="15.75" customHeight="1">
      <c r="A37" s="1"/>
      <c r="B37" s="1"/>
      <c r="C37" s="1"/>
      <c r="D37" s="1"/>
      <c r="E37" s="121" t="s">
        <v>59</v>
      </c>
      <c r="F37" s="84"/>
      <c r="G37" s="1"/>
      <c r="H37" s="3"/>
      <c r="I37" s="3"/>
    </row>
    <row r="38" ht="15.75" customHeight="1">
      <c r="A38" s="1"/>
      <c r="B38" s="123"/>
      <c r="C38" s="125"/>
      <c r="D38" s="1"/>
      <c r="E38" s="126"/>
      <c r="F38" s="102"/>
      <c r="G38" s="1"/>
      <c r="H38" s="3"/>
      <c r="I38" s="3"/>
    </row>
    <row r="39" ht="15.0" customHeight="1">
      <c r="A39" s="1"/>
      <c r="B39" s="47" t="s">
        <v>62</v>
      </c>
      <c r="C39" s="64" t="s">
        <v>63</v>
      </c>
      <c r="D39" s="1"/>
      <c r="E39" s="120"/>
      <c r="F39" s="120"/>
      <c r="G39" s="1"/>
      <c r="H39" s="3"/>
      <c r="I39" s="3"/>
    </row>
    <row r="40" ht="15.0" customHeight="1">
      <c r="A40" s="1"/>
      <c r="B40" s="128"/>
      <c r="C40" s="129"/>
      <c r="D40" s="1"/>
      <c r="E40" s="130" t="s">
        <v>64</v>
      </c>
      <c r="G40" s="1"/>
      <c r="H40" s="3"/>
      <c r="I40" s="3"/>
    </row>
    <row r="41" ht="15.75" customHeight="1">
      <c r="A41" s="1"/>
      <c r="B41" s="128"/>
      <c r="C41" s="129"/>
      <c r="D41" s="1"/>
      <c r="E41" s="130" t="s">
        <v>65</v>
      </c>
      <c r="G41" s="1"/>
      <c r="H41" s="3"/>
      <c r="I41" s="3"/>
    </row>
    <row r="42" ht="15.75" customHeight="1">
      <c r="A42" s="1"/>
      <c r="B42" s="128"/>
      <c r="C42" s="129"/>
      <c r="D42" s="1"/>
      <c r="E42" s="3"/>
      <c r="F42" s="3"/>
      <c r="G42" s="1"/>
      <c r="H42" s="3"/>
      <c r="I42" s="3"/>
    </row>
    <row r="43" ht="15.75" customHeight="1">
      <c r="A43" s="3"/>
      <c r="B43" s="128"/>
      <c r="C43" s="129"/>
      <c r="D43" s="3"/>
      <c r="E43" s="3"/>
      <c r="F43" s="3"/>
      <c r="G43" s="3"/>
      <c r="H43" s="3"/>
      <c r="I43" s="3"/>
    </row>
    <row r="44" ht="15.75" customHeight="1">
      <c r="A44" s="3"/>
      <c r="B44" s="128"/>
      <c r="C44" s="129"/>
      <c r="D44" s="3"/>
      <c r="E44" s="3"/>
      <c r="F44" s="3"/>
      <c r="G44" s="3"/>
      <c r="H44" s="3"/>
      <c r="I44" s="3"/>
    </row>
    <row r="45" ht="15.75" customHeight="1">
      <c r="A45" s="3"/>
      <c r="B45" s="128"/>
      <c r="C45" s="129"/>
      <c r="D45" s="3"/>
      <c r="E45" s="3"/>
      <c r="F45" s="3"/>
      <c r="G45" s="3"/>
      <c r="H45" s="3"/>
      <c r="I45" s="3"/>
    </row>
    <row r="46" ht="15.75" customHeight="1">
      <c r="A46" s="3"/>
      <c r="B46" s="128"/>
      <c r="C46" s="129"/>
      <c r="D46" s="3"/>
      <c r="E46" s="3"/>
      <c r="F46" s="3"/>
      <c r="G46" s="3"/>
      <c r="H46" s="3"/>
      <c r="I46" s="3"/>
    </row>
    <row r="47" ht="15.75" customHeight="1">
      <c r="A47" s="3"/>
      <c r="B47" s="128"/>
      <c r="C47" s="129"/>
      <c r="D47" s="3"/>
      <c r="E47" s="3"/>
      <c r="F47" s="3"/>
      <c r="G47" s="3"/>
      <c r="H47" s="3"/>
      <c r="I47" s="3"/>
    </row>
    <row r="48" ht="15.75" customHeight="1">
      <c r="A48" s="3"/>
      <c r="B48" s="128"/>
      <c r="C48" s="129"/>
      <c r="D48" s="3"/>
      <c r="E48" s="3"/>
      <c r="F48" s="3"/>
      <c r="G48" s="3"/>
      <c r="H48" s="3"/>
      <c r="I48" s="3"/>
    </row>
    <row r="49" ht="15.75" customHeight="1">
      <c r="A49" s="3"/>
      <c r="B49" s="128"/>
      <c r="C49" s="129"/>
      <c r="D49" s="3"/>
      <c r="E49" s="3"/>
      <c r="F49" s="3"/>
      <c r="G49" s="3"/>
      <c r="H49" s="3"/>
      <c r="I49" s="3"/>
    </row>
    <row r="50" ht="15.75" customHeight="1">
      <c r="A50" s="3"/>
      <c r="B50" s="128"/>
      <c r="C50" s="129"/>
      <c r="D50" s="3"/>
      <c r="E50" s="3"/>
      <c r="F50" s="3"/>
      <c r="G50" s="3"/>
      <c r="H50" s="3"/>
      <c r="I50" s="3"/>
    </row>
    <row r="51" ht="15.75" customHeight="1">
      <c r="A51" s="3"/>
      <c r="B51" s="128"/>
      <c r="C51" s="129"/>
      <c r="D51" s="3"/>
      <c r="E51" s="3"/>
      <c r="F51" s="3"/>
      <c r="G51" s="3"/>
      <c r="H51" s="3"/>
      <c r="I51" s="3"/>
    </row>
    <row r="52" ht="15.75" customHeight="1">
      <c r="A52" s="3"/>
      <c r="B52" s="128"/>
      <c r="C52" s="129"/>
      <c r="D52" s="3"/>
      <c r="E52" s="3"/>
      <c r="F52" s="3"/>
      <c r="G52" s="3"/>
      <c r="H52" s="3"/>
      <c r="I52" s="3"/>
    </row>
    <row r="53" ht="15.75" customHeight="1">
      <c r="A53" s="3"/>
      <c r="B53" s="3"/>
      <c r="C53" s="3"/>
      <c r="D53" s="3"/>
      <c r="E53" s="3"/>
      <c r="F53" s="3"/>
      <c r="G53" s="3"/>
      <c r="H53" s="3"/>
      <c r="I53" s="3"/>
    </row>
    <row r="54" ht="15.75" customHeight="1">
      <c r="A54" s="3"/>
      <c r="B54" s="3"/>
      <c r="C54" s="3"/>
      <c r="D54" s="3"/>
      <c r="E54" s="3"/>
      <c r="F54" s="3"/>
      <c r="G54" s="3"/>
      <c r="H54" s="3"/>
      <c r="I54" s="3"/>
    </row>
    <row r="55" ht="15.75" customHeight="1">
      <c r="A55" s="3"/>
      <c r="B55" s="3"/>
      <c r="C55" s="3"/>
      <c r="D55" s="3"/>
      <c r="E55" s="3"/>
      <c r="F55" s="3"/>
      <c r="G55" s="3"/>
      <c r="H55" s="3"/>
      <c r="I55" s="3"/>
    </row>
    <row r="56" ht="15.75" customHeight="1">
      <c r="A56" s="3"/>
      <c r="B56" s="3"/>
      <c r="C56" s="3"/>
      <c r="D56" s="3"/>
      <c r="E56" s="3"/>
      <c r="F56" s="3"/>
      <c r="G56" s="3"/>
      <c r="H56" s="3"/>
      <c r="I56" s="3"/>
    </row>
    <row r="57" ht="15.75" customHeight="1">
      <c r="A57" s="3"/>
      <c r="B57" s="3"/>
      <c r="C57" s="3"/>
      <c r="D57" s="3"/>
      <c r="E57" s="3"/>
      <c r="F57" s="3"/>
      <c r="G57" s="3"/>
      <c r="H57" s="3"/>
      <c r="I57" s="3"/>
    </row>
    <row r="58" ht="15.75" customHeight="1">
      <c r="A58" s="3"/>
      <c r="B58" s="3"/>
      <c r="C58" s="3"/>
      <c r="D58" s="3"/>
      <c r="E58" s="3"/>
      <c r="F58" s="3"/>
      <c r="G58" s="3"/>
      <c r="H58" s="3"/>
      <c r="I58" s="3"/>
    </row>
    <row r="59" ht="15.75" customHeight="1">
      <c r="A59" s="3"/>
      <c r="B59" s="3"/>
      <c r="C59" s="3"/>
      <c r="D59" s="3"/>
      <c r="E59" s="3"/>
      <c r="F59" s="3"/>
      <c r="G59" s="3"/>
      <c r="H59" s="3"/>
      <c r="I59" s="3"/>
    </row>
    <row r="60" ht="15.75" customHeight="1">
      <c r="A60" s="3"/>
      <c r="B60" s="3"/>
      <c r="C60" s="3"/>
      <c r="D60" s="3"/>
      <c r="E60" s="3"/>
      <c r="F60" s="3"/>
      <c r="G60" s="3"/>
      <c r="H60" s="3"/>
      <c r="I60" s="3"/>
    </row>
    <row r="61" ht="15.75" customHeight="1">
      <c r="A61" s="3"/>
      <c r="B61" s="3"/>
      <c r="C61" s="3"/>
      <c r="D61" s="3"/>
      <c r="E61" s="3"/>
      <c r="F61" s="3"/>
      <c r="G61" s="3"/>
      <c r="H61" s="3"/>
      <c r="I61" s="3"/>
    </row>
    <row r="62" ht="15.75" customHeight="1">
      <c r="A62" s="3"/>
      <c r="B62" s="3"/>
      <c r="C62" s="3"/>
      <c r="D62" s="3"/>
      <c r="E62" s="3"/>
      <c r="F62" s="3"/>
      <c r="G62" s="3"/>
      <c r="H62" s="3"/>
      <c r="I62" s="3"/>
    </row>
    <row r="63" ht="15.75" customHeight="1">
      <c r="A63" s="3"/>
      <c r="B63" s="3"/>
      <c r="C63" s="3"/>
      <c r="D63" s="3"/>
      <c r="E63" s="3"/>
      <c r="F63" s="3"/>
      <c r="G63" s="3"/>
      <c r="H63" s="3"/>
      <c r="I63" s="3"/>
    </row>
    <row r="64" ht="15.75" customHeight="1">
      <c r="A64" s="3"/>
      <c r="B64" s="3"/>
      <c r="C64" s="3"/>
      <c r="D64" s="3"/>
      <c r="E64" s="3"/>
      <c r="F64" s="3"/>
      <c r="G64" s="3"/>
    </row>
    <row r="65" ht="15.75" customHeight="1">
      <c r="A65" s="3"/>
      <c r="B65" s="3"/>
      <c r="C65" s="3"/>
      <c r="D65" s="3"/>
      <c r="E65" s="3"/>
      <c r="F65" s="3"/>
      <c r="G65" s="3"/>
    </row>
    <row r="66" ht="15.75" customHeight="1">
      <c r="A66" s="3"/>
      <c r="B66" s="3"/>
      <c r="C66" s="3"/>
      <c r="D66" s="3"/>
      <c r="E66" s="3"/>
      <c r="F66" s="3"/>
      <c r="G66" s="3"/>
    </row>
    <row r="67" ht="15.75" customHeight="1">
      <c r="A67" s="3"/>
      <c r="B67" s="3"/>
      <c r="C67" s="3"/>
      <c r="D67" s="3"/>
      <c r="E67" s="3"/>
      <c r="F67" s="3"/>
      <c r="G67" s="3"/>
    </row>
    <row r="68" ht="15.75" customHeight="1">
      <c r="A68" s="3"/>
      <c r="B68" s="3"/>
      <c r="C68" s="3"/>
      <c r="D68" s="3"/>
      <c r="E68" s="3"/>
      <c r="F68" s="3"/>
      <c r="G68" s="3"/>
    </row>
    <row r="69" ht="15.75" customHeight="1">
      <c r="A69" s="3"/>
      <c r="B69" s="3"/>
      <c r="C69" s="3"/>
      <c r="D69" s="3"/>
      <c r="E69" s="3"/>
      <c r="F69" s="3"/>
      <c r="G69" s="3"/>
    </row>
    <row r="70" ht="15.75" customHeight="1">
      <c r="A70" s="3"/>
      <c r="B70" s="3"/>
      <c r="C70" s="3"/>
      <c r="D70" s="3"/>
      <c r="E70" s="3"/>
      <c r="F70" s="3"/>
      <c r="G70" s="3"/>
    </row>
    <row r="71" ht="15.75" customHeight="1">
      <c r="A71" s="3"/>
      <c r="B71" s="3"/>
      <c r="C71" s="3"/>
      <c r="D71" s="3"/>
      <c r="E71" s="3"/>
      <c r="F71" s="3"/>
      <c r="G71" s="3"/>
    </row>
    <row r="72" ht="15.75" customHeight="1">
      <c r="A72" s="3"/>
      <c r="B72" s="3"/>
      <c r="C72" s="3"/>
      <c r="D72" s="3"/>
      <c r="E72" s="3"/>
      <c r="F72" s="3"/>
      <c r="G72" s="3"/>
    </row>
    <row r="73" ht="15.75" customHeight="1">
      <c r="A73" s="3"/>
      <c r="B73" s="3"/>
      <c r="C73" s="3"/>
      <c r="D73" s="3"/>
      <c r="E73" s="3"/>
      <c r="F73" s="3"/>
      <c r="G73" s="3"/>
    </row>
    <row r="74" ht="15.75" customHeight="1">
      <c r="A74" s="3"/>
      <c r="B74" s="3"/>
      <c r="C74" s="3"/>
      <c r="D74" s="3"/>
      <c r="E74" s="3"/>
      <c r="F74" s="3"/>
      <c r="G74" s="3"/>
    </row>
    <row r="75" ht="15.75" customHeight="1">
      <c r="A75" s="3"/>
      <c r="B75" s="3"/>
      <c r="C75" s="3"/>
      <c r="D75" s="3"/>
      <c r="E75" s="3"/>
      <c r="F75" s="3"/>
      <c r="G75" s="3"/>
    </row>
    <row r="76" ht="15.75" customHeight="1">
      <c r="A76" s="3"/>
      <c r="B76" s="3"/>
      <c r="C76" s="3"/>
      <c r="D76" s="3"/>
      <c r="E76" s="3"/>
      <c r="F76" s="3"/>
      <c r="G76" s="3"/>
    </row>
    <row r="77" ht="15.75" customHeight="1">
      <c r="A77" s="3"/>
      <c r="B77" s="3"/>
      <c r="C77" s="3"/>
      <c r="D77" s="3"/>
      <c r="E77" s="3"/>
      <c r="F77" s="3"/>
      <c r="G77" s="3"/>
    </row>
    <row r="78" ht="15.75" customHeight="1">
      <c r="A78" s="3"/>
      <c r="B78" s="3"/>
      <c r="C78" s="3"/>
      <c r="D78" s="3"/>
      <c r="E78" s="3"/>
      <c r="F78" s="3"/>
      <c r="G78" s="3"/>
    </row>
    <row r="79" ht="15.75" customHeight="1">
      <c r="A79" s="3"/>
      <c r="B79" s="3"/>
      <c r="C79" s="3"/>
      <c r="D79" s="3"/>
      <c r="E79" s="3"/>
      <c r="F79" s="3"/>
      <c r="G79" s="3"/>
    </row>
    <row r="80" ht="15.75" customHeight="1">
      <c r="A80" s="3"/>
      <c r="B80" s="3"/>
      <c r="C80" s="3"/>
      <c r="D80" s="3"/>
      <c r="E80" s="3"/>
      <c r="F80" s="3"/>
      <c r="G80" s="3"/>
    </row>
    <row r="81" ht="15.75" customHeight="1">
      <c r="A81" s="3"/>
      <c r="B81" s="3"/>
      <c r="C81" s="3"/>
      <c r="D81" s="3"/>
      <c r="E81" s="3"/>
      <c r="F81" s="3"/>
      <c r="G81" s="3"/>
    </row>
    <row r="82" ht="15.75" customHeight="1">
      <c r="A82" s="3"/>
      <c r="B82" s="3"/>
      <c r="C82" s="3"/>
      <c r="D82" s="3"/>
      <c r="E82" s="3"/>
      <c r="F82" s="3"/>
      <c r="G82" s="3"/>
    </row>
    <row r="83" ht="15.75" customHeight="1">
      <c r="A83" s="3"/>
      <c r="B83" s="3"/>
      <c r="C83" s="3"/>
      <c r="D83" s="3"/>
      <c r="G83" s="3"/>
    </row>
    <row r="84" ht="15.75" customHeight="1">
      <c r="A84" s="3"/>
      <c r="D84" s="3"/>
      <c r="G84" s="3"/>
    </row>
    <row r="85" ht="15.75" customHeight="1">
      <c r="A85" s="3"/>
      <c r="D85" s="3"/>
      <c r="G85" s="3"/>
    </row>
    <row r="86" ht="15.75" customHeight="1">
      <c r="A86" s="3"/>
      <c r="D86" s="3"/>
      <c r="G86" s="3"/>
    </row>
    <row r="87" ht="15.75" customHeight="1"/>
    <row r="88" ht="15.75" customHeight="1"/>
    <row r="89" ht="15.75" customHeight="1"/>
    <row r="90" ht="15.75" customHeight="1">
      <c r="B90" s="122"/>
      <c r="C90" s="3"/>
    </row>
    <row r="91" ht="15.75" customHeight="1">
      <c r="B91" s="122"/>
      <c r="C91" s="3"/>
    </row>
    <row r="92" ht="15.75" customHeight="1">
      <c r="A92" s="122"/>
      <c r="D92" s="122"/>
    </row>
    <row r="93" ht="15.75" customHeight="1">
      <c r="A93" s="122"/>
      <c r="D93" s="122"/>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E20:F20"/>
    <mergeCell ref="E40:F40"/>
    <mergeCell ref="E41:F41"/>
    <mergeCell ref="E37:F38"/>
    <mergeCell ref="B35:C35"/>
    <mergeCell ref="B32:C33"/>
    <mergeCell ref="B34:C34"/>
    <mergeCell ref="E33:F33"/>
    <mergeCell ref="E8:F8"/>
    <mergeCell ref="H2:K8"/>
    <mergeCell ref="B8:C8"/>
    <mergeCell ref="B9:C9"/>
    <mergeCell ref="E10:F10"/>
    <mergeCell ref="E12:F12"/>
    <mergeCell ref="E16:F16"/>
    <mergeCell ref="E9:F9"/>
  </mergeCells>
  <conditionalFormatting sqref="E35">
    <cfRule type="expression" dxfId="0" priority="1" stopIfTrue="1">
      <formula>AND($E$34&lt;&gt;0,$E$35&lt;&gt;0)</formula>
    </cfRule>
  </conditionalFormatting>
  <conditionalFormatting sqref="E35">
    <cfRule type="expression" dxfId="1" priority="2" stopIfTrue="1">
      <formula>#REF!&gt;0</formula>
    </cfRule>
  </conditionalFormatting>
  <conditionalFormatting sqref="E35">
    <cfRule type="expression" dxfId="2" priority="3" stopIfTrue="1">
      <formula>#REF!=0</formula>
    </cfRule>
  </conditionalFormatting>
  <conditionalFormatting sqref="C10">
    <cfRule type="cellIs" dxfId="3" priority="4" stopIfTrue="1" operator="lessThan">
      <formula>#REF!</formula>
    </cfRule>
  </conditionalFormatting>
  <conditionalFormatting sqref="C10">
    <cfRule type="cellIs" dxfId="4" priority="5" stopIfTrue="1" operator="greaterThanOrEqual">
      <formula>#REF!+365</formula>
    </cfRule>
  </conditionalFormatting>
  <conditionalFormatting sqref="E14">
    <cfRule type="expression" dxfId="5" priority="6" stopIfTrue="1">
      <formula>$E$14&gt;($C$10+365)</formula>
    </cfRule>
  </conditionalFormatting>
  <conditionalFormatting sqref="E14">
    <cfRule type="expression" dxfId="0" priority="7" stopIfTrue="1">
      <formula>$E$14&lt;$C$10</formula>
    </cfRule>
  </conditionalFormatting>
  <conditionalFormatting sqref="E18">
    <cfRule type="expression" dxfId="0" priority="8" stopIfTrue="1">
      <formula>$E$18&gt;($C$10+365)</formula>
    </cfRule>
  </conditionalFormatting>
  <conditionalFormatting sqref="E18">
    <cfRule type="expression" dxfId="0" priority="9" stopIfTrue="1">
      <formula>$E$18&lt;$C$10</formula>
    </cfRule>
  </conditionalFormatting>
  <hyperlinks>
    <hyperlink r:id="rId2" ref="E10"/>
  </hyperlinks>
  <printOptions horizontalCentered="1" verticalCentered="1"/>
  <pageMargins bottom="0.75" footer="0.0" header="0.0" left="0.75" right="0.75" top="0.75"/>
  <pageSetup orientation="portrait"/>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9"/>
    <col customWidth="1" min="2" max="4" width="8.71"/>
    <col customWidth="1" min="5" max="5" width="3.29"/>
    <col customWidth="1" min="6" max="6" width="11.43"/>
    <col customWidth="1" min="7" max="7" width="17.29"/>
    <col customWidth="1" min="8" max="8" width="8.71"/>
    <col customWidth="1" min="9" max="9" width="13.71"/>
    <col customWidth="1" min="10" max="26" width="8.71"/>
  </cols>
  <sheetData>
    <row r="1" ht="7.5" customHeight="1">
      <c r="A1" s="1"/>
      <c r="B1" s="1"/>
      <c r="C1" s="1"/>
      <c r="D1" s="1"/>
      <c r="E1" s="1"/>
      <c r="F1" s="1"/>
      <c r="G1" s="1"/>
      <c r="H1" s="1"/>
      <c r="I1" s="1"/>
      <c r="J1" s="1"/>
      <c r="K1" s="1"/>
      <c r="L1" s="1"/>
      <c r="M1" s="1"/>
    </row>
    <row r="2">
      <c r="A2" s="1"/>
      <c r="B2" s="29" t="s">
        <v>2</v>
      </c>
      <c r="C2" s="30"/>
      <c r="D2" s="46"/>
      <c r="E2" s="46"/>
      <c r="F2" s="47"/>
      <c r="G2" s="64"/>
      <c r="H2" s="1"/>
      <c r="I2" s="66"/>
      <c r="J2" s="1"/>
      <c r="K2" s="1"/>
      <c r="L2" s="1"/>
      <c r="M2" s="1"/>
    </row>
    <row r="3">
      <c r="A3" s="1"/>
      <c r="B3" s="30"/>
      <c r="C3" s="30"/>
      <c r="D3" s="46"/>
      <c r="E3" s="46"/>
      <c r="F3" s="47"/>
      <c r="G3" s="64"/>
      <c r="H3" s="1"/>
      <c r="I3" s="66"/>
      <c r="J3" s="1"/>
      <c r="K3" s="1"/>
      <c r="L3" s="1"/>
      <c r="M3" s="1"/>
    </row>
    <row r="4">
      <c r="A4" s="1"/>
      <c r="B4" s="76" t="s">
        <v>14</v>
      </c>
      <c r="C4" s="79"/>
      <c r="D4" s="54"/>
      <c r="E4" s="46"/>
      <c r="F4" s="76" t="s">
        <v>22</v>
      </c>
      <c r="G4" s="81"/>
      <c r="H4" s="86"/>
      <c r="I4" s="87"/>
      <c r="J4" s="1"/>
      <c r="K4" s="1"/>
      <c r="L4" s="1"/>
      <c r="M4" s="1"/>
    </row>
    <row r="5">
      <c r="A5" s="1"/>
      <c r="B5" s="92" t="s">
        <v>28</v>
      </c>
      <c r="C5" s="93"/>
      <c r="D5" s="97">
        <f>ABS(DAYS360('Seller Net Sheet'!E14,'Seller Net Sheet'!C10))+1</f>
        <v>330</v>
      </c>
      <c r="E5" s="46"/>
      <c r="F5" s="109">
        <v>0.0</v>
      </c>
      <c r="G5" s="111" t="str">
        <f>"P" &amp; H5*1000</f>
        <v>P60</v>
      </c>
      <c r="H5" s="114">
        <f>'Seller Net Sheet'!E21</f>
        <v>0.06</v>
      </c>
      <c r="I5" s="89" t="s">
        <v>29</v>
      </c>
      <c r="J5" s="1"/>
      <c r="K5" s="1"/>
      <c r="L5" s="1"/>
      <c r="M5" s="1"/>
    </row>
    <row r="6">
      <c r="A6" s="1"/>
      <c r="B6" s="92" t="s">
        <v>55</v>
      </c>
      <c r="C6" s="93"/>
      <c r="D6" s="97">
        <f>D5/30</f>
        <v>11</v>
      </c>
      <c r="E6" s="46"/>
      <c r="F6" s="109">
        <v>100000.0</v>
      </c>
      <c r="G6" s="111" t="str">
        <f>IF(H6=H5,G5,G5&amp;"C"&amp;H6*1000)</f>
        <v>P60</v>
      </c>
      <c r="H6" s="114">
        <f>'Seller Net Sheet'!E22</f>
        <v>0.06</v>
      </c>
      <c r="I6" s="89" t="s">
        <v>31</v>
      </c>
      <c r="J6" s="1"/>
      <c r="K6" s="1"/>
      <c r="L6" s="1"/>
      <c r="M6" s="1"/>
    </row>
    <row r="7">
      <c r="A7" s="1"/>
      <c r="B7" s="92" t="s">
        <v>57</v>
      </c>
      <c r="C7" s="93"/>
      <c r="D7" s="97">
        <f>ABS(DAYS360('Seller Net Sheet'!E18,'Seller Net Sheet'!C10))+1</f>
        <v>180</v>
      </c>
      <c r="E7" s="46"/>
      <c r="F7" s="109">
        <v>200000.0</v>
      </c>
      <c r="G7" s="111" t="str">
        <f>IF(H7=H6,G6,G6&amp;"E"&amp;H7*1000)</f>
        <v>P60</v>
      </c>
      <c r="H7" s="114">
        <f>'Seller Net Sheet'!E23</f>
        <v>0.06</v>
      </c>
      <c r="I7" s="89" t="s">
        <v>35</v>
      </c>
      <c r="J7" s="1"/>
      <c r="K7" s="1"/>
      <c r="L7" s="1"/>
      <c r="M7" s="1"/>
    </row>
    <row r="8">
      <c r="A8" s="122"/>
      <c r="B8" s="92" t="s">
        <v>60</v>
      </c>
      <c r="C8" s="93"/>
      <c r="D8" s="97">
        <f>D7/30</f>
        <v>6</v>
      </c>
      <c r="E8" s="124"/>
      <c r="F8" s="109">
        <v>300000.0</v>
      </c>
      <c r="G8" s="111" t="str">
        <f>IF(H8=H7,G7,G7&amp;"F"&amp;H8*1000)</f>
        <v>P60</v>
      </c>
      <c r="H8" s="114">
        <f>'Seller Net Sheet'!E24</f>
        <v>0.06</v>
      </c>
      <c r="I8" s="89" t="s">
        <v>37</v>
      </c>
      <c r="J8" s="1"/>
      <c r="K8" s="1"/>
      <c r="L8" s="1"/>
      <c r="M8" s="1"/>
    </row>
    <row r="9">
      <c r="A9" s="122"/>
      <c r="B9" s="92" t="s">
        <v>61</v>
      </c>
      <c r="C9" s="93"/>
      <c r="D9" s="127">
        <f>('Seller Net Sheet'!E13/360)*D5</f>
        <v>0</v>
      </c>
      <c r="E9" s="66"/>
      <c r="F9" s="109">
        <v>400000.0</v>
      </c>
      <c r="G9" s="111" t="str">
        <f>IF(H9=H8,G8,G8&amp;"G"&amp;H9*1000)</f>
        <v>P60</v>
      </c>
      <c r="H9" s="114">
        <f>'Seller Net Sheet'!E25</f>
        <v>0.06</v>
      </c>
      <c r="I9" s="89" t="s">
        <v>39</v>
      </c>
      <c r="J9" s="1"/>
      <c r="K9" s="1"/>
      <c r="L9" s="1"/>
      <c r="M9" s="1"/>
    </row>
    <row r="10">
      <c r="A10" s="122"/>
      <c r="B10" s="131" t="s">
        <v>66</v>
      </c>
      <c r="C10" s="132"/>
      <c r="D10" s="133">
        <f>('Seller Net Sheet'!E17/360)*D7</f>
        <v>0</v>
      </c>
      <c r="E10" s="66"/>
      <c r="F10" s="109">
        <v>500000.0</v>
      </c>
      <c r="G10" s="111" t="str">
        <f>IF(H10=H9,G9,G9&amp;"H"&amp;H10*1000)</f>
        <v>P60</v>
      </c>
      <c r="H10" s="114">
        <f>'Seller Net Sheet'!E26</f>
        <v>0.06</v>
      </c>
      <c r="I10" s="89" t="s">
        <v>41</v>
      </c>
      <c r="J10" s="1"/>
      <c r="K10" s="1"/>
      <c r="L10" s="1"/>
      <c r="M10" s="1"/>
    </row>
    <row r="11">
      <c r="A11" s="122"/>
      <c r="B11" s="122"/>
      <c r="C11" s="122"/>
      <c r="D11" s="122"/>
      <c r="E11" s="66"/>
      <c r="F11" s="109">
        <v>600000.0</v>
      </c>
      <c r="G11" s="111" t="str">
        <f>IF(H11=H10,G10,G10&amp;"I"&amp;H11*1000)</f>
        <v>P60</v>
      </c>
      <c r="H11" s="114">
        <f>'Seller Net Sheet'!E27</f>
        <v>0.06</v>
      </c>
      <c r="I11" s="89" t="s">
        <v>43</v>
      </c>
      <c r="J11" s="1"/>
      <c r="K11" s="1"/>
      <c r="L11" s="1"/>
      <c r="M11" s="1"/>
    </row>
    <row r="12">
      <c r="A12" s="122"/>
      <c r="B12" s="76" t="s">
        <v>67</v>
      </c>
      <c r="C12" s="79"/>
      <c r="D12" s="54"/>
      <c r="E12" s="66"/>
      <c r="F12" s="109">
        <v>700000.0</v>
      </c>
      <c r="G12" s="111" t="str">
        <f>IF(H12=H11,G11,G11&amp;"J"&amp;H12*1000)</f>
        <v>P60</v>
      </c>
      <c r="H12" s="114">
        <f>'Seller Net Sheet'!E28</f>
        <v>0.06</v>
      </c>
      <c r="I12" s="89" t="s">
        <v>45</v>
      </c>
      <c r="J12" s="1"/>
      <c r="K12" s="1"/>
      <c r="L12" s="1"/>
      <c r="M12" s="1"/>
    </row>
    <row r="13">
      <c r="A13" s="122"/>
      <c r="B13" s="56">
        <v>0.0</v>
      </c>
      <c r="C13" s="134">
        <f>'Seller Net Sheet'!C11</f>
        <v>0</v>
      </c>
      <c r="D13" s="97">
        <f>'Title Rate Update'!D6</f>
        <v>275</v>
      </c>
      <c r="E13" s="66"/>
      <c r="F13" s="109">
        <v>800000.0</v>
      </c>
      <c r="G13" s="111" t="str">
        <f>IF(H13=H12,G12,G12&amp;"K"&amp;H13*1000)</f>
        <v>P60</v>
      </c>
      <c r="H13" s="114">
        <f>'Seller Net Sheet'!E29</f>
        <v>0.06</v>
      </c>
      <c r="I13" s="89" t="s">
        <v>47</v>
      </c>
      <c r="J13" s="1"/>
      <c r="K13" s="1"/>
      <c r="L13" s="1"/>
      <c r="M13" s="1"/>
    </row>
    <row r="14">
      <c r="A14" s="122"/>
      <c r="B14" s="56">
        <v>1001.0</v>
      </c>
      <c r="C14" s="111"/>
      <c r="D14" s="97">
        <f>(($C$13-'Title Rate Update'!B6)/1000)*('Title Rate Update'!C6)+'Title Rate Update'!D6</f>
        <v>269.75</v>
      </c>
      <c r="E14" s="66"/>
      <c r="F14" s="109">
        <v>900000.0</v>
      </c>
      <c r="G14" s="111" t="str">
        <f>IF(H14=H13,G13,G13&amp;"L"&amp;H14*1000)</f>
        <v>P60</v>
      </c>
      <c r="H14" s="114">
        <f>'Seller Net Sheet'!E30</f>
        <v>0.06</v>
      </c>
      <c r="I14" s="89" t="s">
        <v>68</v>
      </c>
      <c r="J14" s="1"/>
      <c r="K14" s="1"/>
      <c r="L14" s="1"/>
      <c r="M14" s="1"/>
    </row>
    <row r="15">
      <c r="A15" s="122"/>
      <c r="B15" s="56">
        <v>50001.0</v>
      </c>
      <c r="C15" s="111"/>
      <c r="D15" s="97">
        <f>(($C$13-'Title Rate Update'!B7)/1000)*('Title Rate Update'!C7)+'Title Rate Update'!D7</f>
        <v>322.25</v>
      </c>
      <c r="E15" s="122"/>
      <c r="F15" s="109">
        <v>1000000.0</v>
      </c>
      <c r="G15" s="135" t="str">
        <f>IF(H15=H14,G14,G14&amp;"M"&amp;H15*1000)</f>
        <v>P60</v>
      </c>
      <c r="H15" s="136">
        <f>'Seller Net Sheet'!E31</f>
        <v>0.06</v>
      </c>
      <c r="I15" s="108" t="s">
        <v>52</v>
      </c>
      <c r="J15" s="1"/>
      <c r="K15" s="1"/>
      <c r="L15" s="1"/>
      <c r="M15" s="1"/>
    </row>
    <row r="16">
      <c r="A16" s="122"/>
      <c r="B16" s="56">
        <v>100001.0</v>
      </c>
      <c r="C16" s="111"/>
      <c r="D16" s="97">
        <f>(($C$13-'Title Rate Update'!B8)/1000)*('Title Rate Update'!C8)+'Title Rate Update'!D8</f>
        <v>375.25</v>
      </c>
      <c r="E16" s="124"/>
      <c r="F16" s="122"/>
      <c r="G16" s="124"/>
      <c r="H16" s="122"/>
      <c r="I16" s="122"/>
      <c r="J16" s="1"/>
      <c r="K16" s="1"/>
      <c r="L16" s="1"/>
      <c r="M16" s="1"/>
    </row>
    <row r="17">
      <c r="A17" s="122"/>
      <c r="B17" s="56">
        <v>200001.0</v>
      </c>
      <c r="C17" s="111"/>
      <c r="D17" s="97">
        <f>(($C$13-'Title Rate Update'!B9)/1000)*('Title Rate Update'!C9)+'Title Rate Update'!D9</f>
        <v>479.25</v>
      </c>
      <c r="E17" s="137"/>
      <c r="F17" s="76" t="s">
        <v>69</v>
      </c>
      <c r="G17" s="81"/>
      <c r="H17" s="138">
        <f>'Seller Net Sheet'!C11</f>
        <v>0</v>
      </c>
      <c r="I17" s="122"/>
      <c r="J17" s="1"/>
      <c r="K17" s="1"/>
      <c r="L17" s="1"/>
      <c r="M17" s="1"/>
    </row>
    <row r="18">
      <c r="A18" s="122"/>
      <c r="B18" s="56">
        <v>300001.0</v>
      </c>
      <c r="C18" s="111"/>
      <c r="D18" s="97">
        <f>(($C$13-'Title Rate Update'!B10)/1000)*('Title Rate Update'!C10)+'Title Rate Update'!D10</f>
        <v>638.25</v>
      </c>
      <c r="E18" s="139"/>
      <c r="F18" s="109" t="s">
        <v>70</v>
      </c>
      <c r="G18" s="111">
        <f>IF($H$17&gt;100000,100000*H18,$H$17*H18)</f>
        <v>0</v>
      </c>
      <c r="H18" s="140">
        <f>'Seller Net Sheet'!E21</f>
        <v>0.06</v>
      </c>
      <c r="I18" s="122"/>
      <c r="J18" s="1"/>
      <c r="K18" s="1"/>
      <c r="L18" s="1"/>
      <c r="M18" s="1"/>
    </row>
    <row r="19">
      <c r="A19" s="122"/>
      <c r="B19" s="141">
        <v>1000001.0</v>
      </c>
      <c r="C19" s="135"/>
      <c r="D19" s="142">
        <f>(($C$13-'Title Rate Update'!B11)/1000)*('Title Rate Update'!C11)+'Title Rate Update'!D11</f>
        <v>1158.25</v>
      </c>
      <c r="E19" s="122"/>
      <c r="F19" s="109" t="s">
        <v>71</v>
      </c>
      <c r="G19" s="111">
        <f>IF($H$17&lt;100000,0,IF($H$17&gt;200000,100000*(H19),($H$17-100000)*(H19)))</f>
        <v>0</v>
      </c>
      <c r="H19" s="140">
        <f>'Seller Net Sheet'!E22</f>
        <v>0.06</v>
      </c>
      <c r="I19" s="122"/>
      <c r="J19" s="1"/>
      <c r="K19" s="1"/>
      <c r="L19" s="1"/>
      <c r="M19" s="1"/>
    </row>
    <row r="20">
      <c r="A20" s="122"/>
      <c r="B20" s="1"/>
      <c r="C20" s="1"/>
      <c r="D20" s="1"/>
      <c r="E20" s="122"/>
      <c r="F20" s="109" t="s">
        <v>72</v>
      </c>
      <c r="G20" s="111">
        <f>IF($H$17&lt;200000,0,IF($H$17&gt;300000,100000*(H20),($H$17-200000)*(H20)))</f>
        <v>0</v>
      </c>
      <c r="H20" s="140">
        <f>'Seller Net Sheet'!E23</f>
        <v>0.06</v>
      </c>
      <c r="I20" s="122"/>
      <c r="J20" s="1"/>
      <c r="K20" s="1"/>
      <c r="L20" s="1"/>
      <c r="M20" s="1"/>
    </row>
    <row r="21" ht="15.75" customHeight="1">
      <c r="A21" s="122"/>
      <c r="B21" s="143">
        <f>IF('Seller Net Sheet'!C11&gt;0,VLOOKUP('Seller Net Sheet'!C11,B13:D19,3,TRUE),0)</f>
        <v>0</v>
      </c>
      <c r="C21" s="144" t="s">
        <v>73</v>
      </c>
      <c r="D21" s="36"/>
      <c r="E21" s="122"/>
      <c r="F21" s="109" t="s">
        <v>74</v>
      </c>
      <c r="G21" s="111">
        <f>IF($H$17&lt;300000,0,IF($H$17&gt;400000,100000*(H21),($H$17-300000)*(H21)))</f>
        <v>0</v>
      </c>
      <c r="H21" s="140">
        <f>'Seller Net Sheet'!E24</f>
        <v>0.06</v>
      </c>
      <c r="I21" s="122"/>
      <c r="J21" s="1"/>
      <c r="K21" s="1"/>
      <c r="L21" s="1"/>
      <c r="M21" s="1"/>
    </row>
    <row r="22" ht="15.75" customHeight="1">
      <c r="A22" s="122"/>
      <c r="E22" s="122"/>
      <c r="F22" s="109" t="s">
        <v>75</v>
      </c>
      <c r="G22" s="111">
        <f>IF($H$17&lt;400000,0,IF($H$17&gt;500000,100000*(H22),($H$17-400000)*(H22)))</f>
        <v>0</v>
      </c>
      <c r="H22" s="140">
        <f>'Seller Net Sheet'!E25</f>
        <v>0.06</v>
      </c>
      <c r="I22" s="122"/>
      <c r="J22" s="1"/>
      <c r="K22" s="1"/>
      <c r="L22" s="1"/>
      <c r="M22" s="1"/>
    </row>
    <row r="23" ht="15.75" customHeight="1">
      <c r="A23" s="122"/>
      <c r="E23" s="122"/>
      <c r="F23" s="109" t="s">
        <v>76</v>
      </c>
      <c r="G23" s="111">
        <f>IF($H$17&lt;500000,0,IF($H$17&gt;600000,100000*(H23),($H$17-500000)*(H23)))</f>
        <v>0</v>
      </c>
      <c r="H23" s="140">
        <f>'Seller Net Sheet'!E26</f>
        <v>0.06</v>
      </c>
      <c r="I23" s="122"/>
      <c r="J23" s="1"/>
      <c r="K23" s="1"/>
      <c r="L23" s="1"/>
      <c r="M23" s="1"/>
    </row>
    <row r="24" ht="15.75" customHeight="1">
      <c r="A24" s="1"/>
      <c r="E24" s="122"/>
      <c r="F24" s="109" t="s">
        <v>77</v>
      </c>
      <c r="G24" s="111">
        <f>IF($H$17&lt;600000,0,IF($H$17&gt;700000,100000*(H24),($H$17-600000)*(H24)))</f>
        <v>0</v>
      </c>
      <c r="H24" s="140">
        <f>'Seller Net Sheet'!E27</f>
        <v>0.06</v>
      </c>
      <c r="I24" s="122"/>
      <c r="J24" s="1"/>
      <c r="K24" s="1"/>
      <c r="L24" s="1"/>
      <c r="M24" s="1"/>
    </row>
    <row r="25" ht="15.75" customHeight="1">
      <c r="A25" s="1"/>
      <c r="E25" s="122"/>
      <c r="F25" s="145" t="s">
        <v>78</v>
      </c>
      <c r="G25" s="111">
        <f>IF($H$17&lt;700000,0,IF($H$17&gt;800000,100000*(H25),($H$17-700000)*(H25)))</f>
        <v>0</v>
      </c>
      <c r="H25" s="140">
        <f>'Seller Net Sheet'!E28</f>
        <v>0.06</v>
      </c>
      <c r="I25" s="122"/>
      <c r="J25" s="1"/>
      <c r="K25" s="1"/>
      <c r="L25" s="1"/>
      <c r="M25" s="1"/>
    </row>
    <row r="26" ht="15.75" customHeight="1">
      <c r="A26" s="1"/>
      <c r="E26" s="146"/>
      <c r="F26" s="145" t="s">
        <v>79</v>
      </c>
      <c r="G26" s="111">
        <f>IF($H$17&lt;800000,0,IF($H$17&gt;900000,100000*(H26),($H$17-800000)*(H26)))</f>
        <v>0</v>
      </c>
      <c r="H26" s="140">
        <f>'Seller Net Sheet'!E29</f>
        <v>0.06</v>
      </c>
      <c r="I26" s="122"/>
      <c r="J26" s="1"/>
      <c r="K26" s="1"/>
      <c r="L26" s="1"/>
      <c r="M26" s="1"/>
    </row>
    <row r="27" ht="15.75" customHeight="1">
      <c r="A27" s="1"/>
      <c r="E27" s="146"/>
      <c r="F27" s="145" t="s">
        <v>80</v>
      </c>
      <c r="G27" s="111">
        <f>IF($H$17&lt;900000,0,IF($H$17&gt;1000000,100000*(H27),($H$17-900000)*(H27)))</f>
        <v>0</v>
      </c>
      <c r="H27" s="140">
        <f>'Seller Net Sheet'!E30</f>
        <v>0.06</v>
      </c>
      <c r="I27" s="122"/>
      <c r="J27" s="1"/>
      <c r="K27" s="1"/>
      <c r="L27" s="1"/>
      <c r="M27" s="1"/>
    </row>
    <row r="28" ht="15.75" customHeight="1">
      <c r="A28" s="1"/>
      <c r="E28" s="146"/>
      <c r="F28" s="147" t="s">
        <v>81</v>
      </c>
      <c r="G28" s="135">
        <f>IF($H$17&lt;1000000,0,($H$17-1000000)*(H28))</f>
        <v>0</v>
      </c>
      <c r="H28" s="148">
        <f>'Seller Net Sheet'!E31</f>
        <v>0.06</v>
      </c>
      <c r="I28" s="122"/>
      <c r="J28" s="1"/>
      <c r="K28" s="1"/>
      <c r="L28" s="1"/>
      <c r="M28" s="1"/>
    </row>
    <row r="29" ht="15.75" customHeight="1">
      <c r="A29" s="1"/>
      <c r="E29" s="146"/>
      <c r="F29" s="1"/>
      <c r="G29" s="122"/>
      <c r="H29" s="122"/>
      <c r="I29" s="122"/>
      <c r="J29" s="1"/>
      <c r="K29" s="1"/>
      <c r="L29" s="1"/>
      <c r="M29" s="1"/>
    </row>
    <row r="30" ht="15.75" customHeight="1">
      <c r="E30" s="149"/>
      <c r="F30" s="1"/>
      <c r="G30" s="1"/>
      <c r="H30" s="122"/>
      <c r="I30" s="122"/>
      <c r="J30" s="1"/>
      <c r="K30" s="1"/>
      <c r="L30" s="1"/>
      <c r="M30" s="1"/>
    </row>
    <row r="31" ht="15.75" customHeight="1">
      <c r="E31" s="149"/>
      <c r="F31" s="1"/>
      <c r="G31" s="1"/>
      <c r="H31" s="122"/>
      <c r="I31" s="122"/>
      <c r="J31" s="1"/>
      <c r="K31" s="1"/>
      <c r="L31" s="1"/>
      <c r="M31" s="1"/>
    </row>
    <row r="32" ht="15.75" customHeight="1">
      <c r="E32" s="122"/>
      <c r="F32" s="1"/>
      <c r="G32" s="1"/>
      <c r="H32" s="122"/>
      <c r="I32" s="122"/>
      <c r="J32" s="1"/>
      <c r="K32" s="1"/>
      <c r="L32" s="1"/>
      <c r="M32" s="1"/>
    </row>
    <row r="33" ht="15.75" customHeight="1">
      <c r="E33" s="122"/>
      <c r="F33" s="1"/>
      <c r="G33" s="1"/>
      <c r="H33" s="122"/>
      <c r="I33" s="122"/>
      <c r="J33" s="1"/>
      <c r="K33" s="1"/>
      <c r="L33" s="1"/>
      <c r="M33" s="1"/>
    </row>
    <row r="34" ht="15.75" customHeight="1">
      <c r="E34" s="122"/>
      <c r="F34" s="1"/>
      <c r="G34" s="1"/>
      <c r="H34" s="122"/>
      <c r="I34" s="122"/>
      <c r="J34" s="1"/>
      <c r="K34" s="1"/>
      <c r="L34" s="1"/>
      <c r="M34" s="1"/>
    </row>
    <row r="35" ht="15.75" customHeight="1">
      <c r="E35" s="124"/>
      <c r="F35" s="1"/>
      <c r="G35" s="1"/>
      <c r="H35" s="122"/>
      <c r="I35" s="122"/>
      <c r="J35" s="1"/>
      <c r="K35" s="1"/>
      <c r="L35" s="1"/>
      <c r="M35" s="1"/>
    </row>
    <row r="36" ht="15.75" customHeight="1">
      <c r="E36" s="124"/>
      <c r="F36" s="122"/>
      <c r="G36" s="1"/>
      <c r="H36" s="122"/>
      <c r="I36" s="122"/>
      <c r="J36" s="1"/>
      <c r="K36" s="1"/>
      <c r="L36" s="1"/>
      <c r="M36" s="1"/>
    </row>
    <row r="37" ht="15.75" customHeight="1">
      <c r="E37" s="124"/>
      <c r="F37" s="1"/>
      <c r="G37" s="1"/>
      <c r="H37" s="122"/>
      <c r="I37" s="122"/>
      <c r="J37" s="1"/>
      <c r="K37" s="1"/>
      <c r="L37" s="1"/>
      <c r="M37" s="1"/>
    </row>
    <row r="38" ht="15.75" customHeight="1">
      <c r="E38" s="1"/>
      <c r="F38" s="1"/>
      <c r="G38" s="1"/>
      <c r="H38" s="1"/>
      <c r="I38" s="1"/>
      <c r="J38" s="1"/>
      <c r="K38" s="1"/>
      <c r="L38" s="1"/>
      <c r="M38" s="1"/>
    </row>
    <row r="39" ht="15.75" customHeight="1">
      <c r="E39" s="1"/>
      <c r="F39" s="1"/>
      <c r="G39" s="1"/>
      <c r="H39" s="1"/>
      <c r="I39" s="1"/>
      <c r="J39" s="1"/>
      <c r="K39" s="1"/>
      <c r="L39" s="1"/>
      <c r="M39" s="1"/>
    </row>
    <row r="40" ht="15.75" customHeight="1">
      <c r="E40" s="1"/>
      <c r="F40" s="1"/>
      <c r="G40" s="1"/>
      <c r="H40" s="1"/>
      <c r="I40" s="1"/>
      <c r="J40" s="1"/>
      <c r="K40" s="1"/>
      <c r="L40" s="1"/>
      <c r="M40" s="1"/>
    </row>
    <row r="41" ht="15.75" customHeight="1">
      <c r="E41" s="1"/>
      <c r="F41" s="1"/>
      <c r="G41" s="1"/>
      <c r="H41" s="1"/>
      <c r="I41" s="1"/>
      <c r="J41" s="1"/>
      <c r="K41" s="1"/>
      <c r="L41" s="1"/>
      <c r="M41" s="1"/>
    </row>
    <row r="42" ht="15.75" customHeight="1">
      <c r="E42" s="1"/>
      <c r="F42" s="1"/>
      <c r="G42" s="1"/>
      <c r="H42" s="1"/>
      <c r="I42" s="1"/>
      <c r="J42" s="1"/>
      <c r="K42" s="1"/>
      <c r="L42" s="1"/>
      <c r="M42" s="1"/>
    </row>
    <row r="43" ht="15.75" customHeight="1">
      <c r="E43" s="1"/>
      <c r="F43" s="1"/>
      <c r="G43" s="1"/>
      <c r="H43" s="1"/>
      <c r="I43" s="1"/>
      <c r="J43" s="1"/>
      <c r="K43" s="1"/>
      <c r="L43" s="1"/>
      <c r="M43" s="1"/>
    </row>
    <row r="44" ht="15.75" customHeight="1">
      <c r="F44" s="1"/>
      <c r="G44" s="1"/>
    </row>
    <row r="45" ht="15.75" customHeight="1">
      <c r="F45" s="1"/>
      <c r="G45" s="1"/>
    </row>
    <row r="46" ht="15.75" customHeight="1">
      <c r="F46" s="1"/>
      <c r="G46" s="1"/>
    </row>
    <row r="47" ht="15.75" customHeight="1">
      <c r="F47" s="1"/>
      <c r="G47" s="1"/>
    </row>
    <row r="48" ht="15.75" customHeight="1">
      <c r="G48" s="1"/>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F4:G4"/>
    <mergeCell ref="F17:G17"/>
    <mergeCell ref="C21:D21"/>
    <mergeCell ref="B4:D4"/>
    <mergeCell ref="B12:D12"/>
  </mergeCells>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4" width="10.0"/>
    <col customWidth="1" min="5" max="26" width="8.71"/>
  </cols>
  <sheetData>
    <row r="2">
      <c r="B2" s="2" t="s">
        <v>0</v>
      </c>
    </row>
    <row r="4">
      <c r="B4" s="33" t="s">
        <v>1</v>
      </c>
      <c r="C4" s="35"/>
      <c r="D4" s="36"/>
    </row>
    <row r="5">
      <c r="B5" s="37">
        <v>0.0</v>
      </c>
      <c r="C5" s="38">
        <v>0.0</v>
      </c>
      <c r="D5" s="40">
        <v>0.0</v>
      </c>
    </row>
    <row r="6">
      <c r="B6" s="42">
        <v>1000.0</v>
      </c>
      <c r="C6" s="44">
        <v>5.25</v>
      </c>
      <c r="D6" s="49">
        <v>275.0</v>
      </c>
    </row>
    <row r="7">
      <c r="B7" s="42">
        <v>50000.0</v>
      </c>
      <c r="C7" s="51">
        <v>4.2</v>
      </c>
      <c r="D7" s="53">
        <v>532.25</v>
      </c>
      <c r="F7" s="55">
        <v>507.25</v>
      </c>
    </row>
    <row r="8">
      <c r="B8" s="56">
        <v>100000.0</v>
      </c>
      <c r="C8" s="44">
        <v>3.67</v>
      </c>
      <c r="D8" s="49">
        <v>742.25</v>
      </c>
      <c r="F8" s="58">
        <v>717.25</v>
      </c>
    </row>
    <row r="9">
      <c r="B9" s="42">
        <v>200000.0</v>
      </c>
      <c r="C9" s="44">
        <v>3.15</v>
      </c>
      <c r="D9" s="49">
        <v>1109.25</v>
      </c>
      <c r="F9" s="58">
        <v>1084.25</v>
      </c>
    </row>
    <row r="10">
      <c r="B10" s="42">
        <v>300000.0</v>
      </c>
      <c r="C10" s="44">
        <v>2.62</v>
      </c>
      <c r="D10" s="49">
        <v>1424.25</v>
      </c>
      <c r="F10" s="58">
        <v>1399.25</v>
      </c>
    </row>
    <row r="11">
      <c r="B11" s="60">
        <v>1000000.0</v>
      </c>
      <c r="C11" s="70">
        <v>2.1</v>
      </c>
      <c r="D11" s="71">
        <v>3258.25</v>
      </c>
      <c r="F11" s="72">
        <v>3233.25</v>
      </c>
    </row>
    <row r="13">
      <c r="B13" s="78" t="s">
        <v>17</v>
      </c>
      <c r="C13" s="35"/>
      <c r="D13" s="36"/>
    </row>
    <row r="14">
      <c r="B14" s="80" t="s">
        <v>20</v>
      </c>
      <c r="C14" s="82"/>
      <c r="D14" s="84"/>
    </row>
    <row r="15">
      <c r="B15" s="90" t="s">
        <v>25</v>
      </c>
      <c r="D15" s="91"/>
    </row>
    <row r="16">
      <c r="B16" s="90" t="s">
        <v>32</v>
      </c>
      <c r="D16" s="91"/>
    </row>
    <row r="17">
      <c r="B17" s="90" t="s">
        <v>33</v>
      </c>
      <c r="D17" s="91"/>
    </row>
    <row r="18">
      <c r="B18" s="94" t="s">
        <v>34</v>
      </c>
      <c r="C18" s="100"/>
      <c r="D18" s="102"/>
    </row>
    <row r="19">
      <c r="B19" s="104" t="s">
        <v>49</v>
      </c>
      <c r="C19" s="82"/>
      <c r="D19" s="8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13:D13"/>
    <mergeCell ref="B14:D14"/>
    <mergeCell ref="B15:D15"/>
    <mergeCell ref="B16:D16"/>
    <mergeCell ref="B17:D17"/>
    <mergeCell ref="B18:D18"/>
    <mergeCell ref="B19:D19"/>
    <mergeCell ref="B4:D4"/>
    <mergeCell ref="B2:D2"/>
  </mergeCells>
  <printOptions/>
  <pageMargins bottom="0.75" footer="0.0" header="0.0" left="0.7" right="0.7" top="0.75"/>
  <pageSetup orientation="landscape"/>
  <drawing r:id="rId2"/>
  <legacyDrawing r:id="rId3"/>
</worksheet>
</file>